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13.xml" ContentType="application/vnd.openxmlformats-officedocument.spreadsheetml.table+xml"/>
  <Override PartName="/xl/comments4.xml" ContentType="application/vnd.openxmlformats-officedocument.spreadsheetml.comment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omments5.xml" ContentType="application/vnd.openxmlformats-officedocument.spreadsheetml.comment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omments6.xml" ContentType="application/vnd.openxmlformats-officedocument.spreadsheetml.comments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comments7.xml" ContentType="application/vnd.openxmlformats-officedocument.spreadsheetml.comments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omments8.xml" ContentType="application/vnd.openxmlformats-officedocument.spreadsheetml.comments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redc\v3\"/>
    </mc:Choice>
  </mc:AlternateContent>
  <bookViews>
    <workbookView xWindow="-15" yWindow="6435" windowWidth="24465" windowHeight="6480" activeTab="1"/>
  </bookViews>
  <sheets>
    <sheet name="Informe" sheetId="2" r:id="rId1"/>
    <sheet name="Estadística" sheetId="13" r:id="rId2"/>
    <sheet name="Presupuesto" sheetId="3" r:id="rId3"/>
    <sheet name="BBDD" sheetId="1" r:id="rId4"/>
    <sheet name="2008" sheetId="8" r:id="rId5"/>
    <sheet name="2008 NREF" sheetId="9" r:id="rId6"/>
    <sheet name="2009" sheetId="7" r:id="rId7"/>
    <sheet name="2009 NREF" sheetId="10" r:id="rId8"/>
    <sheet name="2010" sheetId="6" r:id="rId9"/>
    <sheet name="2010 NREF" sheetId="11" r:id="rId10"/>
    <sheet name="2011" sheetId="5" r:id="rId11"/>
    <sheet name="2011 NREF" sheetId="12" r:id="rId12"/>
    <sheet name="2012" sheetId="16" r:id="rId13"/>
    <sheet name="Hoja2" sheetId="15" r:id="rId1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3" i="13" l="1"/>
  <c r="E35" i="16" l="1"/>
  <c r="D35" i="16"/>
  <c r="E35" i="5"/>
  <c r="D35" i="5"/>
  <c r="F34" i="16" l="1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I17" i="16"/>
  <c r="F17" i="16"/>
  <c r="F16" i="16"/>
  <c r="F15" i="16"/>
  <c r="F14" i="16"/>
  <c r="F13" i="16"/>
  <c r="F12" i="16"/>
  <c r="F11" i="16"/>
  <c r="F10" i="16"/>
  <c r="F9" i="16"/>
  <c r="F8" i="16"/>
  <c r="F7" i="16"/>
  <c r="F6" i="16"/>
  <c r="N5" i="16"/>
  <c r="N17" i="16" s="1"/>
  <c r="I5" i="16"/>
  <c r="I21" i="16" s="1"/>
  <c r="F5" i="16"/>
  <c r="O71" i="1"/>
  <c r="O72" i="1"/>
  <c r="O73" i="1"/>
  <c r="O70" i="1"/>
  <c r="N74" i="1"/>
  <c r="O38" i="2" s="1"/>
  <c r="N17" i="13" s="1"/>
  <c r="O57" i="1"/>
  <c r="O56" i="1"/>
  <c r="O55" i="1"/>
  <c r="N58" i="1"/>
  <c r="O41" i="2" s="1"/>
  <c r="N20" i="13" s="1"/>
  <c r="G11" i="2"/>
  <c r="H11" i="2"/>
  <c r="I11" i="2"/>
  <c r="J11" i="2"/>
  <c r="K11" i="2"/>
  <c r="L11" i="2"/>
  <c r="M11" i="2"/>
  <c r="N11" i="2"/>
  <c r="F11" i="2"/>
  <c r="E11" i="2"/>
  <c r="D11" i="2"/>
  <c r="N49" i="1"/>
  <c r="O40" i="2" s="1"/>
  <c r="N19" i="13" s="1"/>
  <c r="O64" i="1"/>
  <c r="O46" i="1"/>
  <c r="O47" i="1"/>
  <c r="O48" i="1"/>
  <c r="O45" i="1"/>
  <c r="O38" i="1"/>
  <c r="O42" i="2"/>
  <c r="N39" i="1"/>
  <c r="O39" i="2" s="1"/>
  <c r="N18" i="13" s="1"/>
  <c r="O8" i="1"/>
  <c r="N10" i="1"/>
  <c r="O6" i="1"/>
  <c r="O7" i="1"/>
  <c r="O9" i="1"/>
  <c r="O5" i="1"/>
  <c r="D34" i="3"/>
  <c r="E34" i="3"/>
  <c r="F34" i="3"/>
  <c r="G34" i="3"/>
  <c r="H34" i="3"/>
  <c r="I34" i="3"/>
  <c r="J34" i="3"/>
  <c r="K34" i="3"/>
  <c r="L34" i="3"/>
  <c r="M34" i="3"/>
  <c r="N34" i="3"/>
  <c r="C34" i="3"/>
  <c r="D5" i="3"/>
  <c r="E5" i="3"/>
  <c r="F5" i="3"/>
  <c r="G5" i="3"/>
  <c r="H5" i="3"/>
  <c r="I5" i="3"/>
  <c r="J5" i="3"/>
  <c r="K5" i="3"/>
  <c r="L5" i="3"/>
  <c r="M5" i="3"/>
  <c r="N5" i="3"/>
  <c r="N5" i="13" s="1"/>
  <c r="C5" i="3"/>
  <c r="O72" i="2"/>
  <c r="N95" i="2"/>
  <c r="N96" i="2"/>
  <c r="N97" i="2"/>
  <c r="N98" i="2"/>
  <c r="N99" i="2"/>
  <c r="N100" i="2"/>
  <c r="N101" i="2"/>
  <c r="N16" i="13"/>
  <c r="N6" i="13"/>
  <c r="M10" i="13" s="1"/>
  <c r="N30" i="13"/>
  <c r="N31" i="13"/>
  <c r="N47" i="13"/>
  <c r="N48" i="13"/>
  <c r="N49" i="13"/>
  <c r="N50" i="13"/>
  <c r="N51" i="13"/>
  <c r="N52" i="13"/>
  <c r="N53" i="13"/>
  <c r="M58" i="13" s="1"/>
  <c r="O65" i="2"/>
  <c r="N57" i="2"/>
  <c r="N58" i="2"/>
  <c r="O49" i="2"/>
  <c r="O50" i="2" s="1"/>
  <c r="C47" i="13"/>
  <c r="D47" i="13"/>
  <c r="E47" i="13"/>
  <c r="F47" i="13"/>
  <c r="G47" i="13"/>
  <c r="H47" i="13"/>
  <c r="I47" i="13"/>
  <c r="J47" i="13"/>
  <c r="K47" i="13"/>
  <c r="L47" i="13"/>
  <c r="M47" i="13"/>
  <c r="C48" i="13"/>
  <c r="D48" i="13"/>
  <c r="E48" i="13"/>
  <c r="F48" i="13"/>
  <c r="G48" i="13"/>
  <c r="H48" i="13"/>
  <c r="I48" i="13"/>
  <c r="J48" i="13"/>
  <c r="K48" i="13"/>
  <c r="L48" i="13"/>
  <c r="M48" i="13"/>
  <c r="C49" i="13"/>
  <c r="D49" i="13"/>
  <c r="E49" i="13"/>
  <c r="F49" i="13"/>
  <c r="G49" i="13"/>
  <c r="H49" i="13"/>
  <c r="I49" i="13"/>
  <c r="J49" i="13"/>
  <c r="K49" i="13"/>
  <c r="L49" i="13"/>
  <c r="M49" i="13"/>
  <c r="C50" i="13"/>
  <c r="D50" i="13"/>
  <c r="E50" i="13"/>
  <c r="F50" i="13"/>
  <c r="G50" i="13"/>
  <c r="H50" i="13"/>
  <c r="I50" i="13"/>
  <c r="J50" i="13"/>
  <c r="K50" i="13"/>
  <c r="L50" i="13"/>
  <c r="M50" i="13"/>
  <c r="C51" i="13"/>
  <c r="D51" i="13"/>
  <c r="E51" i="13"/>
  <c r="F51" i="13"/>
  <c r="G51" i="13"/>
  <c r="H51" i="13"/>
  <c r="I51" i="13"/>
  <c r="J51" i="13"/>
  <c r="K51" i="13"/>
  <c r="L51" i="13"/>
  <c r="M51" i="13"/>
  <c r="C52" i="13"/>
  <c r="D52" i="13"/>
  <c r="E52" i="13"/>
  <c r="F52" i="13"/>
  <c r="G52" i="13"/>
  <c r="H52" i="13"/>
  <c r="I52" i="13"/>
  <c r="J52" i="13"/>
  <c r="K52" i="13"/>
  <c r="L52" i="13"/>
  <c r="M52" i="13"/>
  <c r="C53" i="13"/>
  <c r="E53" i="13"/>
  <c r="F53" i="13"/>
  <c r="G53" i="13"/>
  <c r="H53" i="13"/>
  <c r="I53" i="13"/>
  <c r="J53" i="13"/>
  <c r="K53" i="13"/>
  <c r="L53" i="13"/>
  <c r="M53" i="13"/>
  <c r="N72" i="2"/>
  <c r="O36" i="2" l="1"/>
  <c r="N56" i="2"/>
  <c r="F35" i="16"/>
  <c r="I23" i="16"/>
  <c r="L77" i="2" s="1"/>
  <c r="N21" i="16"/>
  <c r="O23" i="16" s="1"/>
  <c r="M78" i="2" s="1"/>
  <c r="L75" i="13" s="1"/>
  <c r="I11" i="16"/>
  <c r="J23" i="16"/>
  <c r="M77" i="2" s="1"/>
  <c r="N11" i="16"/>
  <c r="D106" i="13"/>
  <c r="M67" i="13"/>
  <c r="N7" i="13"/>
  <c r="N32" i="13"/>
  <c r="M69" i="13"/>
  <c r="M65" i="13"/>
  <c r="M68" i="13"/>
  <c r="M64" i="13"/>
  <c r="M56" i="13"/>
  <c r="D81" i="13"/>
  <c r="M66" i="13"/>
  <c r="M70" i="13"/>
  <c r="N38" i="13"/>
  <c r="M57" i="13"/>
  <c r="N81" i="13" l="1"/>
  <c r="L81" i="13" s="1"/>
  <c r="H81" i="13"/>
  <c r="N15" i="13"/>
  <c r="M25" i="13" s="1"/>
  <c r="O43" i="2"/>
  <c r="N23" i="16"/>
  <c r="L78" i="2" s="1"/>
  <c r="K75" i="13" s="1"/>
  <c r="M72" i="2"/>
  <c r="L72" i="2"/>
  <c r="K72" i="2"/>
  <c r="J72" i="2"/>
  <c r="I72" i="2"/>
  <c r="H72" i="2"/>
  <c r="G72" i="2"/>
  <c r="F72" i="2"/>
  <c r="E72" i="2"/>
  <c r="D72" i="2"/>
  <c r="M41" i="13" l="1"/>
  <c r="K81" i="13"/>
  <c r="N37" i="13"/>
  <c r="C6" i="13"/>
  <c r="C38" i="13" s="1"/>
  <c r="C5" i="13"/>
  <c r="C56" i="13"/>
  <c r="D56" i="13"/>
  <c r="C57" i="13"/>
  <c r="D57" i="13"/>
  <c r="C58" i="13"/>
  <c r="D58" i="13"/>
  <c r="D96" i="2"/>
  <c r="E96" i="2"/>
  <c r="F96" i="2"/>
  <c r="F97" i="2"/>
  <c r="D98" i="2"/>
  <c r="E98" i="2"/>
  <c r="F98" i="2"/>
  <c r="D99" i="2"/>
  <c r="E99" i="2"/>
  <c r="F99" i="2"/>
  <c r="D100" i="2"/>
  <c r="E100" i="2"/>
  <c r="F100" i="2"/>
  <c r="F101" i="2"/>
  <c r="D95" i="2"/>
  <c r="E95" i="2"/>
  <c r="F95" i="2"/>
  <c r="C21" i="13"/>
  <c r="D21" i="13"/>
  <c r="E21" i="13"/>
  <c r="C16" i="13"/>
  <c r="D16" i="13"/>
  <c r="E16" i="13"/>
  <c r="D42" i="2"/>
  <c r="E42" i="2"/>
  <c r="F42" i="2"/>
  <c r="C10" i="1"/>
  <c r="D36" i="2" s="1"/>
  <c r="C15" i="13" s="1"/>
  <c r="C74" i="1"/>
  <c r="D74" i="1"/>
  <c r="E38" i="2" s="1"/>
  <c r="D17" i="13" s="1"/>
  <c r="E74" i="1"/>
  <c r="F38" i="2" s="1"/>
  <c r="E17" i="13" s="1"/>
  <c r="N21" i="13"/>
  <c r="N22" i="13" s="1"/>
  <c r="C58" i="1"/>
  <c r="D58" i="1"/>
  <c r="E41" i="2" s="1"/>
  <c r="D20" i="13" s="1"/>
  <c r="E58" i="1"/>
  <c r="F41" i="2" s="1"/>
  <c r="E20" i="13" s="1"/>
  <c r="C49" i="1"/>
  <c r="D49" i="1"/>
  <c r="E40" i="2" s="1"/>
  <c r="D19" i="13" s="1"/>
  <c r="E49" i="1"/>
  <c r="F40" i="2" s="1"/>
  <c r="E19" i="13" s="1"/>
  <c r="O49" i="1"/>
  <c r="C39" i="1"/>
  <c r="D39" i="2" s="1"/>
  <c r="C18" i="13" s="1"/>
  <c r="D39" i="1"/>
  <c r="E39" i="2" s="1"/>
  <c r="D18" i="13" s="1"/>
  <c r="E39" i="1"/>
  <c r="O39" i="1"/>
  <c r="D10" i="1"/>
  <c r="E36" i="2" s="1"/>
  <c r="D15" i="13" s="1"/>
  <c r="E10" i="1"/>
  <c r="D6" i="13"/>
  <c r="E6" i="13"/>
  <c r="D10" i="13" s="1"/>
  <c r="F6" i="13"/>
  <c r="E70" i="13"/>
  <c r="G6" i="13"/>
  <c r="F58" i="13"/>
  <c r="H6" i="13"/>
  <c r="I6" i="13"/>
  <c r="J6" i="13"/>
  <c r="I10" i="13" s="1"/>
  <c r="K6" i="13"/>
  <c r="L6" i="13"/>
  <c r="M6" i="13"/>
  <c r="G58" i="13"/>
  <c r="H58" i="13"/>
  <c r="J70" i="13"/>
  <c r="J58" i="13"/>
  <c r="K58" i="13"/>
  <c r="L58" i="13"/>
  <c r="D5" i="13"/>
  <c r="E5" i="13"/>
  <c r="E31" i="13"/>
  <c r="C30" i="13"/>
  <c r="D30" i="13"/>
  <c r="E30" i="13"/>
  <c r="D65" i="2"/>
  <c r="E65" i="2"/>
  <c r="F65" i="2"/>
  <c r="E57" i="2"/>
  <c r="F57" i="2"/>
  <c r="G57" i="2"/>
  <c r="H57" i="2"/>
  <c r="I57" i="2"/>
  <c r="J57" i="2"/>
  <c r="K57" i="2"/>
  <c r="L57" i="2"/>
  <c r="M57" i="2"/>
  <c r="D56" i="2"/>
  <c r="E56" i="2"/>
  <c r="F56" i="2"/>
  <c r="E49" i="2"/>
  <c r="E50" i="2" s="1"/>
  <c r="E58" i="2"/>
  <c r="D58" i="2"/>
  <c r="E65" i="13"/>
  <c r="F56" i="13"/>
  <c r="G56" i="13"/>
  <c r="H56" i="13"/>
  <c r="I56" i="13"/>
  <c r="J56" i="13"/>
  <c r="K56" i="13"/>
  <c r="L56" i="13"/>
  <c r="F57" i="13"/>
  <c r="G57" i="13"/>
  <c r="H57" i="13"/>
  <c r="I57" i="13"/>
  <c r="J57" i="13"/>
  <c r="K57" i="13"/>
  <c r="L57" i="13"/>
  <c r="E69" i="13"/>
  <c r="I58" i="13"/>
  <c r="E64" i="13"/>
  <c r="G39" i="1"/>
  <c r="H39" i="1"/>
  <c r="I39" i="2" s="1"/>
  <c r="H18" i="13" s="1"/>
  <c r="I39" i="1"/>
  <c r="J39" i="1"/>
  <c r="K39" i="1"/>
  <c r="L39" i="1"/>
  <c r="M39" i="1"/>
  <c r="F39" i="1"/>
  <c r="F8" i="2" s="1"/>
  <c r="C7" i="13"/>
  <c r="F58" i="2"/>
  <c r="F39" i="2"/>
  <c r="E18" i="13" s="1"/>
  <c r="F49" i="2"/>
  <c r="F50" i="2" s="1"/>
  <c r="D68" i="13"/>
  <c r="C68" i="13"/>
  <c r="C67" i="13"/>
  <c r="D7" i="2"/>
  <c r="D38" i="2"/>
  <c r="C17" i="13" s="1"/>
  <c r="E7" i="2"/>
  <c r="D10" i="2"/>
  <c r="D41" i="2"/>
  <c r="C20" i="13" s="1"/>
  <c r="D9" i="2"/>
  <c r="D40" i="2"/>
  <c r="C19" i="13" s="1"/>
  <c r="E9" i="2"/>
  <c r="E8" i="2"/>
  <c r="D8" i="2"/>
  <c r="L66" i="13"/>
  <c r="H64" i="13"/>
  <c r="G49" i="1"/>
  <c r="H40" i="2" s="1"/>
  <c r="G19" i="13" s="1"/>
  <c r="H49" i="1"/>
  <c r="I40" i="2" s="1"/>
  <c r="H19" i="13" s="1"/>
  <c r="I49" i="1"/>
  <c r="J40" i="2" s="1"/>
  <c r="J49" i="1"/>
  <c r="K49" i="1"/>
  <c r="K9" i="2" s="1"/>
  <c r="L49" i="1"/>
  <c r="M49" i="1"/>
  <c r="F49" i="1"/>
  <c r="F9" i="2" s="1"/>
  <c r="G74" i="1"/>
  <c r="H38" i="2" s="1"/>
  <c r="G17" i="13" s="1"/>
  <c r="H74" i="1"/>
  <c r="I38" i="2" s="1"/>
  <c r="H17" i="13" s="1"/>
  <c r="I74" i="1"/>
  <c r="J74" i="1"/>
  <c r="K74" i="1"/>
  <c r="K7" i="2" s="1"/>
  <c r="L74" i="1"/>
  <c r="M74" i="1"/>
  <c r="F74" i="1"/>
  <c r="G58" i="1"/>
  <c r="G10" i="2" s="1"/>
  <c r="H58" i="1"/>
  <c r="I58" i="1"/>
  <c r="I10" i="2" s="1"/>
  <c r="J58" i="1"/>
  <c r="K58" i="1"/>
  <c r="L41" i="2" s="1"/>
  <c r="K20" i="13" s="1"/>
  <c r="L58" i="1"/>
  <c r="M58" i="1"/>
  <c r="F58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16" i="1"/>
  <c r="G42" i="2"/>
  <c r="H42" i="2"/>
  <c r="I42" i="2"/>
  <c r="J42" i="2"/>
  <c r="K42" i="2"/>
  <c r="L42" i="2"/>
  <c r="M42" i="2"/>
  <c r="N42" i="2"/>
  <c r="F21" i="13"/>
  <c r="G21" i="13"/>
  <c r="H21" i="13"/>
  <c r="I21" i="13"/>
  <c r="H41" i="2"/>
  <c r="G20" i="13" s="1"/>
  <c r="I41" i="2"/>
  <c r="H20" i="13" s="1"/>
  <c r="J41" i="2"/>
  <c r="I20" i="13" s="1"/>
  <c r="G39" i="2"/>
  <c r="F18" i="13" s="1"/>
  <c r="H39" i="2"/>
  <c r="G18" i="13" s="1"/>
  <c r="J39" i="2"/>
  <c r="I18" i="13" s="1"/>
  <c r="J38" i="2"/>
  <c r="I17" i="13" s="1"/>
  <c r="F16" i="13"/>
  <c r="H37" i="2"/>
  <c r="G16" i="13" s="1"/>
  <c r="I37" i="2"/>
  <c r="H16" i="13" s="1"/>
  <c r="J37" i="2"/>
  <c r="I16" i="13" s="1"/>
  <c r="G10" i="1"/>
  <c r="H36" i="2" s="1"/>
  <c r="G15" i="13" s="1"/>
  <c r="I10" i="1"/>
  <c r="J36" i="2" s="1"/>
  <c r="I15" i="13" s="1"/>
  <c r="H10" i="1"/>
  <c r="J10" i="1"/>
  <c r="K36" i="2" s="1"/>
  <c r="J15" i="13" s="1"/>
  <c r="K10" i="1"/>
  <c r="L36" i="2" s="1"/>
  <c r="K15" i="13" s="1"/>
  <c r="L10" i="1"/>
  <c r="M36" i="2" s="1"/>
  <c r="L15" i="13" s="1"/>
  <c r="M10" i="1"/>
  <c r="F10" i="1"/>
  <c r="G36" i="2" s="1"/>
  <c r="F15" i="13" s="1"/>
  <c r="I9" i="2"/>
  <c r="G8" i="2"/>
  <c r="H8" i="2"/>
  <c r="I7" i="2"/>
  <c r="G96" i="2"/>
  <c r="H96" i="2"/>
  <c r="I96" i="2"/>
  <c r="J96" i="2"/>
  <c r="K96" i="2"/>
  <c r="L96" i="2"/>
  <c r="M96" i="2"/>
  <c r="G97" i="2"/>
  <c r="H97" i="2"/>
  <c r="I97" i="2"/>
  <c r="J97" i="2"/>
  <c r="K97" i="2"/>
  <c r="L97" i="2"/>
  <c r="M97" i="2"/>
  <c r="G98" i="2"/>
  <c r="H98" i="2"/>
  <c r="I98" i="2"/>
  <c r="J98" i="2"/>
  <c r="K98" i="2"/>
  <c r="L98" i="2"/>
  <c r="M98" i="2"/>
  <c r="G99" i="2"/>
  <c r="H99" i="2"/>
  <c r="I99" i="2"/>
  <c r="J99" i="2"/>
  <c r="K99" i="2"/>
  <c r="L99" i="2"/>
  <c r="M99" i="2"/>
  <c r="G100" i="2"/>
  <c r="H100" i="2"/>
  <c r="I100" i="2"/>
  <c r="J100" i="2"/>
  <c r="K100" i="2"/>
  <c r="L100" i="2"/>
  <c r="M100" i="2"/>
  <c r="G101" i="2"/>
  <c r="H101" i="2"/>
  <c r="I101" i="2"/>
  <c r="J101" i="2"/>
  <c r="K101" i="2"/>
  <c r="L101" i="2"/>
  <c r="M101" i="2"/>
  <c r="H95" i="2"/>
  <c r="I95" i="2"/>
  <c r="J95" i="2"/>
  <c r="K95" i="2"/>
  <c r="L95" i="2"/>
  <c r="M95" i="2"/>
  <c r="G95" i="2"/>
  <c r="F31" i="13"/>
  <c r="G31" i="13"/>
  <c r="H31" i="13"/>
  <c r="I31" i="13"/>
  <c r="J31" i="13"/>
  <c r="K31" i="13"/>
  <c r="L31" i="13"/>
  <c r="M31" i="13"/>
  <c r="G30" i="13"/>
  <c r="H30" i="13"/>
  <c r="I30" i="13"/>
  <c r="J30" i="13"/>
  <c r="K30" i="13"/>
  <c r="L30" i="13"/>
  <c r="M30" i="13"/>
  <c r="F30" i="13"/>
  <c r="H65" i="2"/>
  <c r="I65" i="2"/>
  <c r="J65" i="2"/>
  <c r="K65" i="2"/>
  <c r="L65" i="2"/>
  <c r="M65" i="2"/>
  <c r="N65" i="2"/>
  <c r="G65" i="2"/>
  <c r="F5" i="13"/>
  <c r="F7" i="13" s="1"/>
  <c r="G5" i="13"/>
  <c r="G7" i="13" s="1"/>
  <c r="H5" i="13"/>
  <c r="I5" i="13"/>
  <c r="I7" i="13" s="1"/>
  <c r="H56" i="2"/>
  <c r="I56" i="2"/>
  <c r="J56" i="2"/>
  <c r="K56" i="2"/>
  <c r="L56" i="2"/>
  <c r="M56" i="2"/>
  <c r="G56" i="2"/>
  <c r="O74" i="1"/>
  <c r="O58" i="1"/>
  <c r="J21" i="13"/>
  <c r="K21" i="13"/>
  <c r="L21" i="13"/>
  <c r="M21" i="13"/>
  <c r="G17" i="12"/>
  <c r="G5" i="12"/>
  <c r="G11" i="12" s="1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I17" i="5"/>
  <c r="F17" i="5"/>
  <c r="F16" i="5"/>
  <c r="F15" i="5"/>
  <c r="F14" i="5"/>
  <c r="F13" i="5"/>
  <c r="F12" i="5"/>
  <c r="F11" i="5"/>
  <c r="F10" i="5"/>
  <c r="F9" i="5"/>
  <c r="F8" i="5"/>
  <c r="F7" i="5"/>
  <c r="F6" i="5"/>
  <c r="N5" i="5"/>
  <c r="N11" i="5" s="1"/>
  <c r="I5" i="5"/>
  <c r="I11" i="5" s="1"/>
  <c r="F5" i="5"/>
  <c r="G17" i="11"/>
  <c r="G5" i="11"/>
  <c r="G11" i="11" s="1"/>
  <c r="E35" i="6"/>
  <c r="D35" i="6"/>
  <c r="F34" i="6"/>
  <c r="F33" i="6"/>
  <c r="F32" i="6"/>
  <c r="F31" i="6"/>
  <c r="F30" i="6"/>
  <c r="F29" i="6"/>
  <c r="F28" i="6"/>
  <c r="F27" i="6"/>
  <c r="F26" i="6"/>
  <c r="F25" i="6"/>
  <c r="F24" i="6"/>
  <c r="F22" i="6"/>
  <c r="F21" i="6"/>
  <c r="F20" i="6"/>
  <c r="F19" i="6"/>
  <c r="F18" i="6"/>
  <c r="I17" i="6"/>
  <c r="F17" i="6"/>
  <c r="F16" i="6"/>
  <c r="F15" i="6"/>
  <c r="F14" i="6"/>
  <c r="F13" i="6"/>
  <c r="F12" i="6"/>
  <c r="F11" i="6"/>
  <c r="F10" i="6"/>
  <c r="F9" i="6"/>
  <c r="F8" i="6"/>
  <c r="F7" i="6"/>
  <c r="F6" i="6"/>
  <c r="I5" i="6"/>
  <c r="I21" i="6" s="1"/>
  <c r="F5" i="6"/>
  <c r="G17" i="10"/>
  <c r="G5" i="10"/>
  <c r="G11" i="10" s="1"/>
  <c r="E35" i="7"/>
  <c r="D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G49" i="2"/>
  <c r="G50" i="2" s="1"/>
  <c r="N17" i="5"/>
  <c r="N21" i="5" s="1"/>
  <c r="N23" i="5" s="1"/>
  <c r="J78" i="2" s="1"/>
  <c r="I75" i="13" s="1"/>
  <c r="I17" i="7"/>
  <c r="F17" i="7"/>
  <c r="F16" i="7"/>
  <c r="F15" i="7"/>
  <c r="F14" i="7"/>
  <c r="F13" i="7"/>
  <c r="F12" i="7"/>
  <c r="F11" i="7"/>
  <c r="F10" i="7"/>
  <c r="F9" i="7"/>
  <c r="F8" i="7"/>
  <c r="F7" i="7"/>
  <c r="F6" i="7"/>
  <c r="I5" i="7"/>
  <c r="I11" i="7" s="1"/>
  <c r="F5" i="7"/>
  <c r="I58" i="2"/>
  <c r="J49" i="2"/>
  <c r="J50" i="2" s="1"/>
  <c r="H58" i="2"/>
  <c r="I49" i="2"/>
  <c r="I50" i="2" s="1"/>
  <c r="G58" i="2"/>
  <c r="H49" i="2"/>
  <c r="H50" i="2" s="1"/>
  <c r="I21" i="7"/>
  <c r="G17" i="9"/>
  <c r="G5" i="9"/>
  <c r="G11" i="9" s="1"/>
  <c r="E35" i="8"/>
  <c r="D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I17" i="8"/>
  <c r="F17" i="8"/>
  <c r="F16" i="8"/>
  <c r="F15" i="8"/>
  <c r="F14" i="8"/>
  <c r="F13" i="8"/>
  <c r="F12" i="8"/>
  <c r="F11" i="8"/>
  <c r="F10" i="8"/>
  <c r="F9" i="8"/>
  <c r="F8" i="8"/>
  <c r="F7" i="8"/>
  <c r="F6" i="8"/>
  <c r="N5" i="8"/>
  <c r="N11" i="8" s="1"/>
  <c r="I5" i="8"/>
  <c r="I11" i="8" s="1"/>
  <c r="F5" i="8"/>
  <c r="M32" i="1"/>
  <c r="L32" i="1"/>
  <c r="K32" i="1"/>
  <c r="J32" i="1"/>
  <c r="J7" i="2"/>
  <c r="K8" i="2"/>
  <c r="J8" i="2"/>
  <c r="J9" i="2"/>
  <c r="L5" i="2"/>
  <c r="J5" i="2"/>
  <c r="O32" i="1"/>
  <c r="M58" i="2"/>
  <c r="N49" i="2"/>
  <c r="N50" i="2" s="1"/>
  <c r="K58" i="2"/>
  <c r="L49" i="2"/>
  <c r="L50" i="2" s="1"/>
  <c r="L58" i="2"/>
  <c r="M49" i="2"/>
  <c r="M50" i="2" s="1"/>
  <c r="J58" i="2"/>
  <c r="K49" i="2"/>
  <c r="K50" i="2" s="1"/>
  <c r="M5" i="13"/>
  <c r="M7" i="13" s="1"/>
  <c r="L5" i="13"/>
  <c r="L7" i="13" s="1"/>
  <c r="K5" i="13"/>
  <c r="J5" i="13"/>
  <c r="N41" i="2"/>
  <c r="M20" i="13" s="1"/>
  <c r="N40" i="2"/>
  <c r="M19" i="13" s="1"/>
  <c r="L40" i="2"/>
  <c r="K19" i="13" s="1"/>
  <c r="N39" i="2"/>
  <c r="M18" i="13" s="1"/>
  <c r="L39" i="2"/>
  <c r="K18" i="13" s="1"/>
  <c r="K39" i="2"/>
  <c r="J18" i="13" s="1"/>
  <c r="K41" i="2"/>
  <c r="J20" i="13" s="1"/>
  <c r="M39" i="2"/>
  <c r="L18" i="13" s="1"/>
  <c r="M41" i="2"/>
  <c r="L20" i="13" s="1"/>
  <c r="M40" i="2"/>
  <c r="L19" i="13" s="1"/>
  <c r="K40" i="2"/>
  <c r="J19" i="13" s="1"/>
  <c r="L8" i="2"/>
  <c r="N38" i="2"/>
  <c r="M38" i="2"/>
  <c r="L38" i="2"/>
  <c r="K38" i="2"/>
  <c r="M16" i="13"/>
  <c r="L16" i="13"/>
  <c r="K16" i="13"/>
  <c r="J16" i="13"/>
  <c r="G21" i="11"/>
  <c r="H23" i="11" s="1"/>
  <c r="I77" i="2" s="1"/>
  <c r="G21" i="10"/>
  <c r="G23" i="10" s="1"/>
  <c r="F77" i="2" s="1"/>
  <c r="G21" i="9"/>
  <c r="H23" i="9" s="1"/>
  <c r="E77" i="2" s="1"/>
  <c r="L7" i="2" l="1"/>
  <c r="L9" i="2"/>
  <c r="G7" i="2"/>
  <c r="E10" i="2"/>
  <c r="H23" i="10"/>
  <c r="G77" i="2" s="1"/>
  <c r="F35" i="6"/>
  <c r="N17" i="6"/>
  <c r="N21" i="6" s="1"/>
  <c r="N23" i="6" s="1"/>
  <c r="H78" i="2" s="1"/>
  <c r="G75" i="13" s="1"/>
  <c r="I8" i="2"/>
  <c r="H10" i="2"/>
  <c r="D5" i="2"/>
  <c r="G21" i="12"/>
  <c r="K5" i="2"/>
  <c r="H7" i="2"/>
  <c r="F10" i="2"/>
  <c r="F7" i="2"/>
  <c r="F35" i="7"/>
  <c r="N5" i="7"/>
  <c r="M38" i="13"/>
  <c r="L10" i="13"/>
  <c r="I38" i="13"/>
  <c r="H10" i="13"/>
  <c r="C10" i="13"/>
  <c r="L38" i="13"/>
  <c r="K10" i="13"/>
  <c r="H38" i="13"/>
  <c r="G10" i="13"/>
  <c r="F38" i="13"/>
  <c r="E10" i="13"/>
  <c r="K38" i="13"/>
  <c r="J10" i="13"/>
  <c r="G38" i="13"/>
  <c r="F10" i="13"/>
  <c r="N10" i="2"/>
  <c r="M10" i="2"/>
  <c r="G5" i="2"/>
  <c r="N36" i="2"/>
  <c r="M15" i="13" s="1"/>
  <c r="M5" i="2"/>
  <c r="N5" i="2"/>
  <c r="H5" i="2"/>
  <c r="I36" i="2"/>
  <c r="H15" i="13" s="1"/>
  <c r="M7" i="2"/>
  <c r="N7" i="2"/>
  <c r="M9" i="2"/>
  <c r="N9" i="2"/>
  <c r="M8" i="2"/>
  <c r="N8" i="2"/>
  <c r="F35" i="5"/>
  <c r="G38" i="2"/>
  <c r="F17" i="13" s="1"/>
  <c r="J10" i="2"/>
  <c r="E5" i="2"/>
  <c r="F36" i="2"/>
  <c r="E15" i="13" s="1"/>
  <c r="D88" i="13" s="1"/>
  <c r="L10" i="2"/>
  <c r="K10" i="2"/>
  <c r="I19" i="13"/>
  <c r="J43" i="2"/>
  <c r="G40" i="2"/>
  <c r="F19" i="13" s="1"/>
  <c r="H9" i="2"/>
  <c r="G9" i="2"/>
  <c r="F5" i="2"/>
  <c r="I5" i="2"/>
  <c r="O10" i="1"/>
  <c r="D49" i="2"/>
  <c r="D50" i="2" s="1"/>
  <c r="J38" i="13"/>
  <c r="D111" i="13"/>
  <c r="D113" i="13"/>
  <c r="D110" i="13"/>
  <c r="D107" i="13"/>
  <c r="D7" i="13"/>
  <c r="D86" i="13"/>
  <c r="H86" i="13" s="1"/>
  <c r="E38" i="13"/>
  <c r="H7" i="13"/>
  <c r="I25" i="13"/>
  <c r="E7" i="13"/>
  <c r="C25" i="13"/>
  <c r="L25" i="13"/>
  <c r="J25" i="13"/>
  <c r="K7" i="13"/>
  <c r="J7" i="13"/>
  <c r="I21" i="8"/>
  <c r="I23" i="8" s="1"/>
  <c r="J23" i="7"/>
  <c r="N5" i="6"/>
  <c r="N11" i="6" s="1"/>
  <c r="F35" i="8"/>
  <c r="F32" i="13"/>
  <c r="G65" i="13"/>
  <c r="F66" i="13"/>
  <c r="G23" i="9"/>
  <c r="D77" i="2" s="1"/>
  <c r="G23" i="11"/>
  <c r="H77" i="2" s="1"/>
  <c r="G41" i="2"/>
  <c r="F20" i="13" s="1"/>
  <c r="J64" i="13"/>
  <c r="H69" i="13"/>
  <c r="G69" i="13"/>
  <c r="I23" i="6"/>
  <c r="J23" i="6"/>
  <c r="N17" i="7"/>
  <c r="N11" i="7"/>
  <c r="G67" i="13"/>
  <c r="N17" i="8"/>
  <c r="O23" i="5"/>
  <c r="K78" i="2" s="1"/>
  <c r="J75" i="13" s="1"/>
  <c r="I11" i="6"/>
  <c r="D64" i="13"/>
  <c r="I21" i="5"/>
  <c r="I23" i="7"/>
  <c r="C69" i="13"/>
  <c r="L32" i="13"/>
  <c r="K32" i="13"/>
  <c r="I32" i="13"/>
  <c r="D66" i="13"/>
  <c r="D65" i="13"/>
  <c r="I64" i="13"/>
  <c r="J68" i="13"/>
  <c r="I68" i="13"/>
  <c r="E43" i="2"/>
  <c r="C65" i="13"/>
  <c r="D67" i="13"/>
  <c r="L64" i="13"/>
  <c r="K64" i="13"/>
  <c r="F64" i="13"/>
  <c r="K69" i="13"/>
  <c r="E68" i="13"/>
  <c r="E67" i="13"/>
  <c r="K66" i="13"/>
  <c r="J66" i="13"/>
  <c r="H66" i="13"/>
  <c r="E66" i="13"/>
  <c r="K65" i="13"/>
  <c r="J65" i="13"/>
  <c r="H65" i="13"/>
  <c r="D32" i="13"/>
  <c r="D37" i="13" s="1"/>
  <c r="E32" i="13"/>
  <c r="C32" i="13"/>
  <c r="C37" i="13" s="1"/>
  <c r="I70" i="13"/>
  <c r="K43" i="2"/>
  <c r="M43" i="2"/>
  <c r="M32" i="13"/>
  <c r="G32" i="13"/>
  <c r="J32" i="13"/>
  <c r="H32" i="13"/>
  <c r="J67" i="13"/>
  <c r="J69" i="13"/>
  <c r="I66" i="13"/>
  <c r="G66" i="13"/>
  <c r="G68" i="13"/>
  <c r="G70" i="13"/>
  <c r="L68" i="13"/>
  <c r="L65" i="13"/>
  <c r="L67" i="13"/>
  <c r="D69" i="13"/>
  <c r="E57" i="13"/>
  <c r="L43" i="2"/>
  <c r="N43" i="2"/>
  <c r="N12" i="2" s="1"/>
  <c r="H43" i="2"/>
  <c r="F68" i="13"/>
  <c r="F69" i="13"/>
  <c r="F70" i="13"/>
  <c r="G64" i="13"/>
  <c r="I67" i="13"/>
  <c r="I69" i="13"/>
  <c r="I65" i="13"/>
  <c r="L69" i="13"/>
  <c r="K67" i="13"/>
  <c r="K68" i="13"/>
  <c r="K70" i="13"/>
  <c r="H70" i="13"/>
  <c r="H67" i="13"/>
  <c r="H68" i="13"/>
  <c r="L70" i="13"/>
  <c r="F65" i="13"/>
  <c r="F67" i="13"/>
  <c r="D43" i="2"/>
  <c r="C64" i="13"/>
  <c r="E58" i="13"/>
  <c r="E56" i="13"/>
  <c r="J17" i="13"/>
  <c r="J22" i="13" s="1"/>
  <c r="C22" i="13"/>
  <c r="K25" i="13"/>
  <c r="G25" i="13"/>
  <c r="H22" i="13"/>
  <c r="H25" i="13"/>
  <c r="I22" i="13"/>
  <c r="F25" i="13"/>
  <c r="G22" i="13"/>
  <c r="E25" i="13"/>
  <c r="F22" i="13"/>
  <c r="D22" i="13"/>
  <c r="K17" i="13"/>
  <c r="K22" i="13" s="1"/>
  <c r="L17" i="13"/>
  <c r="L22" i="13" s="1"/>
  <c r="M17" i="13"/>
  <c r="M22" i="13" s="1"/>
  <c r="I43" i="2"/>
  <c r="O23" i="6" l="1"/>
  <c r="I78" i="2" s="1"/>
  <c r="H75" i="13" s="1"/>
  <c r="G23" i="12"/>
  <c r="H23" i="12"/>
  <c r="D25" i="13"/>
  <c r="D90" i="13"/>
  <c r="E22" i="13"/>
  <c r="G43" i="2"/>
  <c r="J12" i="2"/>
  <c r="F43" i="2"/>
  <c r="D82" i="13"/>
  <c r="J37" i="13"/>
  <c r="I41" i="13"/>
  <c r="D83" i="13"/>
  <c r="H37" i="13"/>
  <c r="G41" i="13"/>
  <c r="L37" i="13"/>
  <c r="K41" i="13"/>
  <c r="D108" i="13"/>
  <c r="M37" i="13"/>
  <c r="L41" i="13"/>
  <c r="K37" i="13"/>
  <c r="J41" i="13"/>
  <c r="G37" i="13"/>
  <c r="F41" i="13"/>
  <c r="D41" i="13"/>
  <c r="E37" i="13"/>
  <c r="I37" i="13"/>
  <c r="H41" i="13"/>
  <c r="F37" i="13"/>
  <c r="E41" i="13"/>
  <c r="D109" i="13"/>
  <c r="N86" i="13"/>
  <c r="G12" i="2"/>
  <c r="D85" i="13"/>
  <c r="D79" i="13"/>
  <c r="N79" i="13" s="1"/>
  <c r="D104" i="13"/>
  <c r="J23" i="8"/>
  <c r="H12" i="2"/>
  <c r="D12" i="2"/>
  <c r="L12" i="2"/>
  <c r="N21" i="8"/>
  <c r="N23" i="8" s="1"/>
  <c r="D78" i="2" s="1"/>
  <c r="C75" i="13" s="1"/>
  <c r="I23" i="5"/>
  <c r="J77" i="2" s="1"/>
  <c r="J23" i="5"/>
  <c r="K77" i="2" s="1"/>
  <c r="N21" i="7"/>
  <c r="N23" i="7" s="1"/>
  <c r="F78" i="2" s="1"/>
  <c r="E75" i="13" s="1"/>
  <c r="M12" i="2"/>
  <c r="F12" i="2"/>
  <c r="E12" i="2"/>
  <c r="K12" i="2"/>
  <c r="I12" i="2"/>
  <c r="D89" i="13" l="1"/>
  <c r="H89" i="13" s="1"/>
  <c r="D87" i="13"/>
  <c r="H90" i="13"/>
  <c r="N90" i="13"/>
  <c r="N85" i="13"/>
  <c r="H85" i="13"/>
  <c r="N82" i="13"/>
  <c r="K82" i="13" s="1"/>
  <c r="H82" i="13"/>
  <c r="N83" i="13"/>
  <c r="H83" i="13"/>
  <c r="N88" i="13"/>
  <c r="H88" i="13"/>
  <c r="D80" i="13"/>
  <c r="H80" i="13" s="1"/>
  <c r="D105" i="13"/>
  <c r="D84" i="13"/>
  <c r="D112" i="13"/>
  <c r="K83" i="13"/>
  <c r="L83" i="13"/>
  <c r="L85" i="13"/>
  <c r="K85" i="13"/>
  <c r="L86" i="13"/>
  <c r="K86" i="13"/>
  <c r="H79" i="13"/>
  <c r="O23" i="8"/>
  <c r="E78" i="2" s="1"/>
  <c r="D75" i="13" s="1"/>
  <c r="O23" i="7"/>
  <c r="G78" i="2" s="1"/>
  <c r="F75" i="13" s="1"/>
  <c r="N80" i="13" l="1"/>
  <c r="N89" i="13"/>
  <c r="L82" i="13"/>
  <c r="N87" i="13"/>
  <c r="H87" i="13"/>
  <c r="K90" i="13"/>
  <c r="L90" i="13"/>
  <c r="N84" i="13"/>
  <c r="L84" i="13" s="1"/>
  <c r="H84" i="13"/>
  <c r="K88" i="13"/>
  <c r="L88" i="13"/>
  <c r="L89" i="13"/>
  <c r="K89" i="13"/>
  <c r="K79" i="13"/>
  <c r="L79" i="13"/>
  <c r="L80" i="13"/>
  <c r="K80" i="13"/>
  <c r="K84" i="13" l="1"/>
  <c r="L87" i="13"/>
  <c r="K87" i="13"/>
</calcChain>
</file>

<file path=xl/comments1.xml><?xml version="1.0" encoding="utf-8"?>
<comments xmlns="http://schemas.openxmlformats.org/spreadsheetml/2006/main">
  <authors>
    <author>fcorumon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BBDD dada de baja en septiembre 2012. No podemos recuperar los resultados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BBDD dada de baja en septiembre 2012. No podemos recuperar los resultados</t>
        </r>
      </text>
    </comment>
  </commentList>
</comments>
</file>

<file path=xl/comments2.xml><?xml version="1.0" encoding="utf-8"?>
<comments xmlns="http://schemas.openxmlformats.org/spreadsheetml/2006/main">
  <authors>
    <author>fcorumon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Suma de impreso y electrónico</t>
        </r>
      </text>
    </comment>
  </commentList>
</comments>
</file>

<file path=xl/comments3.xml><?xml version="1.0" encoding="utf-8"?>
<comments xmlns="http://schemas.openxmlformats.org/spreadsheetml/2006/main">
  <authors>
    <author>fcorumon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Suma de impreso y electrónico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Suma de impreso y electrónico</t>
        </r>
      </text>
    </comment>
  </commentList>
</comments>
</file>

<file path=xl/comments4.xml><?xml version="1.0" encoding="utf-8"?>
<comments xmlns="http://schemas.openxmlformats.org/spreadsheetml/2006/main">
  <authors>
    <author>fcorumon</author>
  </authors>
  <commentList>
    <comment ref="B38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Se ha usado la opción de eliminar duplicados</t>
        </r>
      </text>
    </comment>
  </commentList>
</comments>
</file>

<file path=xl/comments5.xml><?xml version="1.0" encoding="utf-8"?>
<comments xmlns="http://schemas.openxmlformats.org/spreadsheetml/2006/main">
  <authors>
    <author>fcorumon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comments6.xml><?xml version="1.0" encoding="utf-8"?>
<comments xmlns="http://schemas.openxmlformats.org/spreadsheetml/2006/main">
  <authors>
    <author>fcorumon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comments7.xml><?xml version="1.0" encoding="utf-8"?>
<comments xmlns="http://schemas.openxmlformats.org/spreadsheetml/2006/main">
  <authors>
    <author>fcorumon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comments8.xml><?xml version="1.0" encoding="utf-8"?>
<comments xmlns="http://schemas.openxmlformats.org/spreadsheetml/2006/main">
  <authors>
    <author>fcorumon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fcorumon:</t>
        </r>
        <r>
          <rPr>
            <sz val="8"/>
            <color indexed="81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sharedStrings.xml><?xml version="1.0" encoding="utf-8"?>
<sst xmlns="http://schemas.openxmlformats.org/spreadsheetml/2006/main" count="1523" uniqueCount="443">
  <si>
    <t>SCOPUS</t>
  </si>
  <si>
    <t>Nombres/Producción</t>
  </si>
  <si>
    <t>Impreso</t>
  </si>
  <si>
    <t>TOTAL</t>
  </si>
  <si>
    <t>Universidad Politécnica de Valencia</t>
  </si>
  <si>
    <t>CSIC-UPV Instituto de Tecnología Química ITQ</t>
  </si>
  <si>
    <t>CSIC-UPV Instituto de Biología Molecular y Celular de Plantas Primo Yufera IBMCP</t>
  </si>
  <si>
    <t xml:space="preserve">CSIC-UPV - Instituto de Gestión de la Innovacion y del Conocimiento INGENIO </t>
  </si>
  <si>
    <t>2008</t>
  </si>
  <si>
    <t>2009</t>
  </si>
  <si>
    <t>2010</t>
  </si>
  <si>
    <t>2011</t>
  </si>
  <si>
    <t>Total</t>
  </si>
  <si>
    <t>INSPEC</t>
  </si>
  <si>
    <t>Univ. Politec. De Valencia, Valencia</t>
  </si>
  <si>
    <t>Polytech. Univ. Of Valencia, Valencia</t>
  </si>
  <si>
    <t>Dept. De Sist. Informaticos Y Comput., Univ. Politec. De Valencia, Valencia</t>
  </si>
  <si>
    <t>Inst. De Mat. Multidisciplinar, Univ. Politec. De Valencia, Valencia</t>
  </si>
  <si>
    <t>Inst. Tecnol. De Inf., Univ. Politec. De Valencia, Valencia</t>
  </si>
  <si>
    <t>Polytech. Univ. Of Valencia, Valancia</t>
  </si>
  <si>
    <t>Iteam Res. Inst., Univ. Politec. De Valencia, Valencia</t>
  </si>
  <si>
    <t>Dept. De Comun., Univ. Politec. De Valencia, Valencia</t>
  </si>
  <si>
    <t>Valencia Nanophotonics Technol. Center, Univ. Politec. De Valencia, Valencia</t>
  </si>
  <si>
    <t>Dept. De Ing. Quim. Y Nucl., Univ. Politec. De Valencia, Valencia</t>
  </si>
  <si>
    <t>Inst. Univ. De Mat. Multidisciplinar, Univ. Politec. De Valencia, Valencia</t>
  </si>
  <si>
    <t>Dept. De Ing. Electron., Univ. Politec. De Valencia, Valencia</t>
  </si>
  <si>
    <t>Cmt-Motores Termicos, Univ. Politec. De Valencia, Valencia</t>
  </si>
  <si>
    <t>Dsic, Univ. Politec. De Valencia, Valencia</t>
  </si>
  <si>
    <t>Nanophotonics Technol. Center, Univ. Politec. De Valencia, Valencia</t>
  </si>
  <si>
    <t>Inst. de tecnología química (agrupadas las múltiples variantes)</t>
  </si>
  <si>
    <t>Polytechnical University of Valencia</t>
  </si>
  <si>
    <t>Universitat Politècnica de València</t>
  </si>
  <si>
    <t>Valencia Politechnical University</t>
  </si>
  <si>
    <t>CAB</t>
  </si>
  <si>
    <t>Formato/Año</t>
  </si>
  <si>
    <t>PRESUPUESTO</t>
  </si>
  <si>
    <t>SCIFINDER</t>
  </si>
  <si>
    <t>BBDD/año</t>
  </si>
  <si>
    <t>Univ Politecn Valencia</t>
  </si>
  <si>
    <t>Inst Tecnol Quim</t>
  </si>
  <si>
    <t>IBMCP UPV CSIC, Lab Biotechnol Breeding</t>
  </si>
  <si>
    <t>INGENIO CSIC UPV</t>
  </si>
  <si>
    <t>FSTA</t>
  </si>
  <si>
    <t>Nombre/Producción</t>
  </si>
  <si>
    <t>Universitat Politecnica de Valencia</t>
  </si>
  <si>
    <t>Univ. Politecnica de Valencia</t>
  </si>
  <si>
    <t>Universidad Politecnica de Valencia</t>
  </si>
  <si>
    <t>WOS</t>
  </si>
  <si>
    <t>VARIACIÓN REFERENCIAS</t>
  </si>
  <si>
    <t>VARIACIÓN PRESUPUESTO</t>
  </si>
  <si>
    <t>Electrónico</t>
  </si>
  <si>
    <t>BBDD</t>
  </si>
  <si>
    <t>Total anual</t>
  </si>
  <si>
    <t>Total anual/1000</t>
  </si>
  <si>
    <t>Presupuesto</t>
  </si>
  <si>
    <t>REFERENCIAS TOTALES</t>
  </si>
  <si>
    <t>PDI</t>
  </si>
  <si>
    <t>Profesorado</t>
  </si>
  <si>
    <t>PDI jornada completa</t>
  </si>
  <si>
    <t>PDI jornada parcial</t>
  </si>
  <si>
    <t>Identificador</t>
  </si>
  <si>
    <t>Referencias</t>
  </si>
  <si>
    <t>Texto completo</t>
  </si>
  <si>
    <t>Tipología</t>
  </si>
  <si>
    <t>Article</t>
  </si>
  <si>
    <t>10.1063/1.3552428</t>
  </si>
  <si>
    <t>Conference Paper</t>
  </si>
  <si>
    <t>10.1109/ICALT.2010.45</t>
  </si>
  <si>
    <t>10.1109/CEC.2010.5586408</t>
  </si>
  <si>
    <t>10.1016/j.talanta.2009.12.016</t>
  </si>
  <si>
    <t>10.1016/j.carbpol.2010.04.047</t>
  </si>
  <si>
    <t>Folgado - Mound breakwater</t>
  </si>
  <si>
    <t>Juan - The APP Oracle</t>
  </si>
  <si>
    <t>10.1016/j.geomphys.2010.08.004</t>
  </si>
  <si>
    <t>10.1016/j.colsurfb.2010.05.005</t>
  </si>
  <si>
    <t>10.1016/j.jnoncrysol.2009.06.048</t>
  </si>
  <si>
    <t>Yuste - PangeaMT</t>
  </si>
  <si>
    <t>10.1109/WI-IAT.2010.58</t>
  </si>
  <si>
    <t>10.1088/0967-3334/31/11/N03</t>
  </si>
  <si>
    <t>10.1039/c001955k</t>
  </si>
  <si>
    <t>10.1007/978-3-642-16066-0_11</t>
  </si>
  <si>
    <t>10.1039/c0jm00345j</t>
  </si>
  <si>
    <t>10.1109/NOCS.2010.13</t>
  </si>
  <si>
    <t>10.1007/s11075-009-9359-z</t>
  </si>
  <si>
    <t>10.1017/S0269888910000196</t>
  </si>
  <si>
    <t>10.1016/j.ab.2009.10.013</t>
  </si>
  <si>
    <t>10.1002/pca.1179</t>
  </si>
  <si>
    <t>10.1016/j.physleta.2009.11.041</t>
  </si>
  <si>
    <t>10.1088/0264-9381/27/17/175007</t>
  </si>
  <si>
    <t>10.1142/S0218127410027489</t>
  </si>
  <si>
    <t>10.1016/j.apenergy.2009.10.020</t>
  </si>
  <si>
    <t>10.1109/DSD.2010.42</t>
  </si>
  <si>
    <t>Sanchez-Saez - Confidence</t>
  </si>
  <si>
    <t>Quintero - Methodolgy</t>
  </si>
  <si>
    <t>Ortiz-Martinez - Online</t>
  </si>
  <si>
    <t>10.1007/978-3-642-16178-0_7</t>
  </si>
  <si>
    <t>Perez-Aparicio - Finite</t>
  </si>
  <si>
    <t>10.1364/JON.8.000471</t>
  </si>
  <si>
    <t>10.1063/1.3243924</t>
  </si>
  <si>
    <t>De Garcia-Hernandez - Acceleration</t>
  </si>
  <si>
    <t>10.1016/j.foodchem.2008.05.068</t>
  </si>
  <si>
    <t>10.1109/EAEEIE.2009.5335495</t>
  </si>
  <si>
    <t>10.1364/JON.8.000156</t>
  </si>
  <si>
    <t>10.1016/j.entcs.2009.12.004</t>
  </si>
  <si>
    <t>10.1016/j.amc.2009.04.082</t>
  </si>
  <si>
    <t>10.1109/EAEEIE.2009.5335487</t>
  </si>
  <si>
    <t>10.1016/j.physa.2008.12.008</t>
  </si>
  <si>
    <t>10.1016/j.mejo.2008.07.062</t>
  </si>
  <si>
    <t>10.1016/j.ress.2008.09.006</t>
  </si>
  <si>
    <t>10.1109/IPDPS.2009.5161048</t>
  </si>
  <si>
    <t>10.1016/j.telpol.2009.02.001</t>
  </si>
  <si>
    <t>Silvestre-Planes - Image</t>
  </si>
  <si>
    <t>10.1007/978-3-642-04447-2_113</t>
  </si>
  <si>
    <t>10.1080/00207160802691652</t>
  </si>
  <si>
    <t>Defez - Evolution</t>
  </si>
  <si>
    <t>10.1039/b912134j</t>
  </si>
  <si>
    <t>10.1021/jp907930w</t>
  </si>
  <si>
    <t>10.1109/IECON.2009.5414697</t>
  </si>
  <si>
    <t>10.1021/jo900356c</t>
  </si>
  <si>
    <t>10.1016/j.jfoodeng.2008.12.034</t>
  </si>
  <si>
    <t>Fernandez - Simucapra</t>
  </si>
  <si>
    <t>10.1039/b9pp00063a</t>
  </si>
  <si>
    <t>10.1061/41036(342)304</t>
  </si>
  <si>
    <t>10.1121/1.3126948</t>
  </si>
  <si>
    <t>10.1039/b816698f</t>
  </si>
  <si>
    <t>10.1063/1.3273701</t>
  </si>
  <si>
    <t>Porcentaje</t>
  </si>
  <si>
    <t>Desviación típica</t>
  </si>
  <si>
    <t>Nivel de confianza 95%</t>
  </si>
  <si>
    <t>Precisión</t>
  </si>
  <si>
    <t>Tamaño muestra</t>
  </si>
  <si>
    <t>Media muestral ref/art</t>
  </si>
  <si>
    <t>Intervalo de confianza</t>
  </si>
  <si>
    <t>Error estándar media</t>
  </si>
  <si>
    <t>Intervalo confianza</t>
  </si>
  <si>
    <t>Columna1</t>
  </si>
  <si>
    <t>Valores</t>
  </si>
  <si>
    <t>Datos</t>
  </si>
  <si>
    <t>Media texto completo/referencias</t>
  </si>
  <si>
    <t>Error estándar proporción</t>
  </si>
  <si>
    <t>Referencias hechas por trabajo</t>
  </si>
  <si>
    <t>Referencias suscritas por la biblioteca</t>
  </si>
  <si>
    <t>10.1109/IVS.2008.4621150</t>
  </si>
  <si>
    <t>10.1002/chem.200801657</t>
  </si>
  <si>
    <t>Rovira-Más - Configuration</t>
  </si>
  <si>
    <t>10.1007/978-3-540-87991-6-34</t>
  </si>
  <si>
    <t>Marin - Spectral</t>
  </si>
  <si>
    <t>10.1007/978-3-540-88009-7_14</t>
  </si>
  <si>
    <t>Espert - The use</t>
  </si>
  <si>
    <t>10.1016/j.optcom.2008.07.013</t>
  </si>
  <si>
    <t>10.1039/b807453d</t>
  </si>
  <si>
    <t>10.1063/1.2981089</t>
  </si>
  <si>
    <t>10.1109/EAEEIE.2008.4610166</t>
  </si>
  <si>
    <t>10.1109/ICALT.2008.121</t>
  </si>
  <si>
    <r>
      <t> </t>
    </r>
    <r>
      <rPr>
        <sz val="8"/>
        <color rgb="FF5C5C5C"/>
        <rFont val="Arial Unicode MS"/>
        <family val="2"/>
      </rPr>
      <t>10.2214/AJR.07.3528</t>
    </r>
  </si>
  <si>
    <t>10.1371/journal.pcbi.1000187</t>
  </si>
  <si>
    <t>10.1007/978-3-540-70540-6_183</t>
  </si>
  <si>
    <t>10.1016/j.image.2008.04.016</t>
  </si>
  <si>
    <t>10.1002/spe.858</t>
  </si>
  <si>
    <t>10.1016/j.compstruc.2007.05.010</t>
  </si>
  <si>
    <t>10.1111/j.1364-3703.2008.00474.x</t>
  </si>
  <si>
    <t>10.1117/12.785604</t>
  </si>
  <si>
    <t>10.1039/b718068c</t>
  </si>
  <si>
    <t>10.1007/s10856-007-3282-4</t>
  </si>
  <si>
    <t>10.1007/s11192-007-1867-9</t>
  </si>
  <si>
    <t>Planells - A note</t>
  </si>
  <si>
    <t>10.1088/0031-9155/53/5/018</t>
  </si>
  <si>
    <t>10.1016/j.desal.2007.01.157</t>
  </si>
  <si>
    <t>10.1088/0031-9155/53/4/N01</t>
  </si>
  <si>
    <t>10.1016/j.tsf.2007.05.031</t>
  </si>
  <si>
    <t>10.1109/TNS.2007.910675</t>
  </si>
  <si>
    <t>10.1109/L-CA.2007.16</t>
  </si>
  <si>
    <t>Referencias por trabajo</t>
  </si>
  <si>
    <t>Referencias suscritas</t>
  </si>
  <si>
    <t>REFERENCIAS POR TRABAJO Y SUSCRITAS</t>
  </si>
  <si>
    <t>10.1016/j.entcs.2008.12.037</t>
  </si>
  <si>
    <t>10.1007/978-3-540-85834-8-9</t>
  </si>
  <si>
    <t>10.1109/ICTAI.2008.91</t>
  </si>
  <si>
    <t>10.1109/DAS.2008.54</t>
  </si>
  <si>
    <t>10.1109/SOFTCOM.2008.4669508</t>
  </si>
  <si>
    <t>10.1109/ICTAI.2008.18</t>
  </si>
  <si>
    <t>10.1109/ICTAI.2008.13</t>
  </si>
  <si>
    <t>10.1109/ICTAI.2008.35</t>
  </si>
  <si>
    <t>Pérez-Camps - Short</t>
  </si>
  <si>
    <t>Espinosa - Generic</t>
  </si>
  <si>
    <t>10.1145/1389449.1389463</t>
  </si>
  <si>
    <t>Martínez- ProPID</t>
  </si>
  <si>
    <t>10.1145/1384209.1384219</t>
  </si>
  <si>
    <t>10.1145/1384209.1384217</t>
  </si>
  <si>
    <t>10.1145/1384209.1384216</t>
  </si>
  <si>
    <t>10.3923/jms.2008.715.721</t>
  </si>
  <si>
    <t>Mora - Discovering</t>
  </si>
  <si>
    <t>Agustí-Melchor - Lattice</t>
  </si>
  <si>
    <t>10.1016/j.amc.2008.10.001</t>
  </si>
  <si>
    <t>Bermúdez - Spreadsheet</t>
  </si>
  <si>
    <t>10.1016/j.foodchem.2008.05.006</t>
  </si>
  <si>
    <t>10.1109/MWSYM.2008.4633223</t>
  </si>
  <si>
    <t>10.1109/MWSYM.2008.4633247</t>
  </si>
  <si>
    <t>10.1126/science.1166401</t>
  </si>
  <si>
    <t>10.1063/1.3040317</t>
  </si>
  <si>
    <t>10.1109/MWSYM.2008.4633235</t>
  </si>
  <si>
    <t>10.1109/MWSYM.2008.4633236</t>
  </si>
  <si>
    <t>10.1021/jp807623m</t>
  </si>
  <si>
    <t>10.1021/jp805400u</t>
  </si>
  <si>
    <t>10.1021/ja806903c</t>
  </si>
  <si>
    <t>10.1109/TAP.2008.2005448</t>
  </si>
  <si>
    <t>10.1021/ja803490n</t>
  </si>
  <si>
    <t>10.1016/j.scienta.2008.07.006</t>
  </si>
  <si>
    <t>10.1364/AO.47.006631</t>
  </si>
  <si>
    <t>Lughofer - On-line</t>
  </si>
  <si>
    <t>10.1111/j.1747-1567.2007.00296.x</t>
  </si>
  <si>
    <t>10.1145/1370888.1370897</t>
  </si>
  <si>
    <t>10.1016/j.comnet.2008.08.019</t>
  </si>
  <si>
    <t>10.1007/978-3-540-88313-5-35</t>
  </si>
  <si>
    <t>10.1145/1358628.1358968</t>
  </si>
  <si>
    <t>10.1186/1471-2148-8-284</t>
  </si>
  <si>
    <t>10.1109/TVT.2008.919619</t>
  </si>
  <si>
    <t>10.1007/978-3-540-87877-3-1</t>
  </si>
  <si>
    <t>10.1007/978-3-540-87877-3-36</t>
  </si>
  <si>
    <t>Vega-Jurado - How</t>
  </si>
  <si>
    <t>10.1080/08985620802462231</t>
  </si>
  <si>
    <t>10.1007/978-3-540-89183-3-15</t>
  </si>
  <si>
    <t>10.1021/ja805607m</t>
  </si>
  <si>
    <t>10.1039/b810310k</t>
  </si>
  <si>
    <t>10.1063/1.3025625</t>
  </si>
  <si>
    <t>Miralles - Geometrical</t>
  </si>
  <si>
    <t>10.1109/JSTSP.2008.2005324</t>
  </si>
  <si>
    <t>10.1109/TIE.2008.2004378</t>
  </si>
  <si>
    <t>10.1016/j.cej.2007.10.023</t>
  </si>
  <si>
    <t>10.1002/app.28171</t>
  </si>
  <si>
    <t>10.1002/dac.921</t>
  </si>
  <si>
    <t>10.1017/S0373463308004803</t>
  </si>
  <si>
    <t>Castro Martínez - Knowledge</t>
  </si>
  <si>
    <t>10.3233/978-1-60750-061-2-293</t>
  </si>
  <si>
    <t>10.4108/ICST.MOBIQUITOUS2009.6904</t>
  </si>
  <si>
    <t>10.3233/978-1-60750-061-2-252</t>
  </si>
  <si>
    <t>10.4108/ICST.MOBIQUITOUS2009.6929</t>
  </si>
  <si>
    <t>10.3233/978-1-60750-061-2-301</t>
  </si>
  <si>
    <t>10.1016/j.nbt.2009.09.005</t>
  </si>
  <si>
    <t>10.1109/LEOS.2009.5343249</t>
  </si>
  <si>
    <t>10.1121/1.3257580</t>
  </si>
  <si>
    <t>10.1063/1.3273698</t>
  </si>
  <si>
    <t>10.1002/adsc.201000096</t>
  </si>
  <si>
    <t>10.1002/anie.201001506</t>
  </si>
  <si>
    <t>10.1016/j.watres.2010.05.005</t>
  </si>
  <si>
    <t>10.1016/j.surfcoat.2010.02.070</t>
  </si>
  <si>
    <t>10.1534/genetics.110.115915</t>
  </si>
  <si>
    <t>10.1098/rsta.2010.0083</t>
  </si>
  <si>
    <t>10.1021/ja101014y</t>
  </si>
  <si>
    <t>10.1364/OE.18.014301</t>
  </si>
  <si>
    <t>10.1039/c0cc00031k</t>
  </si>
  <si>
    <t>10.1093/molbev/msq012</t>
  </si>
  <si>
    <t>10.1016/j.jfoodeng.2010.01.026</t>
  </si>
  <si>
    <t>10.1016/j.foodhyd.2009.11.004</t>
  </si>
  <si>
    <t>10.1016/j.jenvman.2009.12.007</t>
  </si>
  <si>
    <t>10.1039/b922534j</t>
  </si>
  <si>
    <t>10.1002/chem.200903127</t>
  </si>
  <si>
    <t>10.1016/j.foodchem.2009.09.036</t>
  </si>
  <si>
    <t>10.1016/j.apcata.2010.01.042</t>
  </si>
  <si>
    <t>10.1021/nl9041017</t>
  </si>
  <si>
    <t>10.1039/b924937k</t>
  </si>
  <si>
    <t>10.1016/j.aca.2010.03.017</t>
  </si>
  <si>
    <t>10.1109/TKDE.2009.154</t>
  </si>
  <si>
    <t>10.1364/OE.18.006156</t>
  </si>
  <si>
    <t>10.1002/adsc.200900747</t>
  </si>
  <si>
    <t>10.1016/j.colsurfb.2010.01.021</t>
  </si>
  <si>
    <t>10.1002/anie.200905160</t>
  </si>
  <si>
    <t>10.1021/la9026656</t>
  </si>
  <si>
    <t>10.1039/b914183a</t>
  </si>
  <si>
    <t>10.1109/TMAG.2009.2033339</t>
  </si>
  <si>
    <t>10.1021/ef900832c</t>
  </si>
  <si>
    <t>10.1587/transfun.E93.A.272</t>
  </si>
  <si>
    <t>10.1016/j.phpro.2010.01.072</t>
  </si>
  <si>
    <t>10.1007/s00216-009-3264-0</t>
  </si>
  <si>
    <t>10.1007/s00216-009-3229-3</t>
  </si>
  <si>
    <t>10.1016/j.phpro.2010.01.020</t>
  </si>
  <si>
    <t>10.1016/j.phpro.2010.01.022</t>
  </si>
  <si>
    <t>10.4028/www.scientific.net/KEM.417-418.421</t>
  </si>
  <si>
    <t>10.1016/j.phpro.2010.01.021</t>
  </si>
  <si>
    <t>Alcaraz - Study</t>
  </si>
  <si>
    <t>10.1145/1891903.1891918</t>
  </si>
  <si>
    <t>Cubero - MICSc</t>
  </si>
  <si>
    <t>10.1007/978-3-642-13321-3_15</t>
  </si>
  <si>
    <t>Gonzalez-Pintor - 3D</t>
  </si>
  <si>
    <t>Granell - Dialogue</t>
  </si>
  <si>
    <t>Montalvo - Agent</t>
  </si>
  <si>
    <t>10.1007/978-3-642-13033-5_23</t>
  </si>
  <si>
    <t>10.1149/1.3407557</t>
  </si>
  <si>
    <t>10.1109/ICCGI.2010.45</t>
  </si>
  <si>
    <t>10.1080/00207540600898049</t>
  </si>
  <si>
    <t>10.1016/j.engstruct.2007.05.023</t>
  </si>
  <si>
    <t>10.1016/j.desal.2007.01.091</t>
  </si>
  <si>
    <t>10.2527/jas.2007-0217</t>
  </si>
  <si>
    <t>10.1080/00343400601142704</t>
  </si>
  <si>
    <t>10.1016/j.micpro.2007.06.002</t>
  </si>
  <si>
    <t>10.1080/11263500701872143</t>
  </si>
  <si>
    <t>10.1142/S0219887808002722</t>
  </si>
  <si>
    <t>10.1016/j.jmaa.2007.07.010</t>
  </si>
  <si>
    <t>10.1016/j.compag.2007.07.007</t>
  </si>
  <si>
    <t>10.1016/j.future.2007.06.008</t>
  </si>
  <si>
    <t>10.1111/j.1468-2435.2008.00439.x</t>
  </si>
  <si>
    <t>10.1162/pres.18.2.97</t>
  </si>
  <si>
    <t>10.1016/j.compag.2008.11.006</t>
  </si>
  <si>
    <t>10.1016/j.jfoodeng.2008.09.034</t>
  </si>
  <si>
    <t>10.1016/j.infsof.2008.09.008</t>
  </si>
  <si>
    <t>10.1016/j.jfoodeng.2008.09.024</t>
  </si>
  <si>
    <t>Jaramillo - UNC</t>
  </si>
  <si>
    <t>10.1680/macr.2008.00058</t>
  </si>
  <si>
    <t>Soria - Use</t>
  </si>
  <si>
    <t>Colección/Año</t>
  </si>
  <si>
    <t>Monografías</t>
  </si>
  <si>
    <t>Revistas</t>
  </si>
  <si>
    <t>e-monografías</t>
  </si>
  <si>
    <t>e-revistas</t>
  </si>
  <si>
    <t>Préstamos</t>
  </si>
  <si>
    <t>Documentos descargados</t>
  </si>
  <si>
    <t>ESTADÍSTICAS REBIUN</t>
  </si>
  <si>
    <t>Ortuño, R. - Extraordinary</t>
  </si>
  <si>
    <t xml:space="preserve">Ballesteros, G.C. - Characterizing and modeling </t>
  </si>
  <si>
    <t>10.1109/LAWP.2012.2183111</t>
  </si>
  <si>
    <t>10.410S/icst.collaboratecom.2011.247111</t>
  </si>
  <si>
    <t>10.1007/978-3-642-24206-9_1</t>
  </si>
  <si>
    <t>10.1016/j.proeng.2011.12.277</t>
  </si>
  <si>
    <t>Guiñón-Pina, V. - Influence of temperature</t>
  </si>
  <si>
    <t>Peña-Haro, S. - Optimal fertilizer</t>
  </si>
  <si>
    <t>Blasco-Tamarit, E. - Study of the effect</t>
  </si>
  <si>
    <t>10.1016/j.sbspro.2011.03.167</t>
  </si>
  <si>
    <t>10.1007/s11227-011-0587-3</t>
  </si>
  <si>
    <t>10.1016/j.livsci.2011.05.014</t>
  </si>
  <si>
    <t>10.1016/j.jcs.2011.08.005</t>
  </si>
  <si>
    <t>10.1016/j.surfcoat.2011.07.039</t>
  </si>
  <si>
    <t>10.1016/j.biortech.2011.07.014</t>
  </si>
  <si>
    <t>10.1007/s10863-011-9378-z</t>
  </si>
  <si>
    <t>Esparza-Peidro, J. - Towards</t>
  </si>
  <si>
    <t>10.3390/en4081148</t>
  </si>
  <si>
    <t>10.1109/RADIOELEK.2011.5936447</t>
  </si>
  <si>
    <t>10.1007/978-3-642-21257-4_68</t>
  </si>
  <si>
    <t>10.1007/978-3-642-22327-3_31</t>
  </si>
  <si>
    <t>10.2166/wst.2011.478</t>
  </si>
  <si>
    <t>10.1117/12.876136</t>
  </si>
  <si>
    <t>10.1080/19476330903503361</t>
  </si>
  <si>
    <t>10.1016/j.cep.2011.02.010</t>
  </si>
  <si>
    <t>10.1039/c0em00451k</t>
  </si>
  <si>
    <t>10.1109/ICCE.2011.5722556</t>
  </si>
  <si>
    <t>10.1007/978-3-642-17796-5_12</t>
  </si>
  <si>
    <t>10.1016/j.renene.2010.08.008</t>
  </si>
  <si>
    <t>Perez-Vidal, C. - Short communication</t>
  </si>
  <si>
    <t>REFERENCIAS SUSCRITAS</t>
  </si>
  <si>
    <t>Variable</t>
  </si>
  <si>
    <t>Libros impresos-Préstamos</t>
  </si>
  <si>
    <t>Presupuesto-Producción</t>
  </si>
  <si>
    <t>e-revistas-Descargas</t>
  </si>
  <si>
    <t>Producción-Descargas</t>
  </si>
  <si>
    <t>Presupuesto electrónico-Descargas</t>
  </si>
  <si>
    <t>ICYT</t>
  </si>
  <si>
    <t>Uni* Pol* Val*</t>
  </si>
  <si>
    <t>2004</t>
  </si>
  <si>
    <t>2005</t>
  </si>
  <si>
    <t>2006</t>
  </si>
  <si>
    <t>2007</t>
  </si>
  <si>
    <t>VARIACIÓN ESTADÍSTICAS REBIUN</t>
  </si>
  <si>
    <t>UPV</t>
  </si>
  <si>
    <t>2001</t>
  </si>
  <si>
    <t>2002</t>
  </si>
  <si>
    <t>2003</t>
  </si>
  <si>
    <t>-</t>
  </si>
  <si>
    <t>BBDD-Descargas</t>
  </si>
  <si>
    <t>Presupuesto electrónico-Producción</t>
  </si>
  <si>
    <t xml:space="preserve">Coeficiente de correlación (Pearson) </t>
  </si>
  <si>
    <t>PRESUPUESTO PROMEDIO REBIUN</t>
  </si>
  <si>
    <t>PDI PROMEDIO REBIUN</t>
  </si>
  <si>
    <t>PDI UPV</t>
  </si>
  <si>
    <t>ESTADÍSTICAS REBIUN UPV</t>
  </si>
  <si>
    <t>ESTADÍSTICAS, PROMEDIO REBIUN</t>
  </si>
  <si>
    <t>Monografías UPV</t>
  </si>
  <si>
    <t>Monografías REBIUN</t>
  </si>
  <si>
    <t>Revistas REBIUN</t>
  </si>
  <si>
    <t>e-monografías REBIUN</t>
  </si>
  <si>
    <t>e-revistas REBIUN</t>
  </si>
  <si>
    <t>BBDD REBIUN</t>
  </si>
  <si>
    <t>Préstamos REBIUN</t>
  </si>
  <si>
    <t>Documentos descargados REBIUN</t>
  </si>
  <si>
    <t>Revistas UPV</t>
  </si>
  <si>
    <t>e-monografías UPV</t>
  </si>
  <si>
    <t>e-revistas UPV</t>
  </si>
  <si>
    <t>BBDD UPV</t>
  </si>
  <si>
    <t>Préstamos UPV</t>
  </si>
  <si>
    <t>Documentos descargados UPV</t>
  </si>
  <si>
    <t>Significación</t>
  </si>
  <si>
    <t>VARIACIÓN ESTADÍSTICAS REBIUN UPV</t>
  </si>
  <si>
    <t>Presupuesto impreso-Préstamos</t>
  </si>
  <si>
    <t>Productividad</t>
  </si>
  <si>
    <t>PRODUCTIVIDAD</t>
  </si>
  <si>
    <t>Descargas/Presupuesto elect.</t>
  </si>
  <si>
    <t>Presupuesto-Productividad</t>
  </si>
  <si>
    <t>Tabla coef Pearson (0,05)</t>
  </si>
  <si>
    <t>Presupuesto electrónico-Productividad</t>
  </si>
  <si>
    <t>2012</t>
  </si>
  <si>
    <t>Coef. Pearson 2008-2012</t>
  </si>
  <si>
    <t>Coef. Pearson 2001-2012</t>
  </si>
  <si>
    <t>Zr</t>
  </si>
  <si>
    <t>Inferior</t>
  </si>
  <si>
    <t>Superior</t>
  </si>
  <si>
    <t>Intervalo confianza Pearson poblacional</t>
  </si>
  <si>
    <t>CSIC-UPV Instituto de Instrumentación para Imagen Molecular I3M</t>
  </si>
  <si>
    <t>Productividad-Descargas</t>
  </si>
  <si>
    <t>10.4995/wrs.2012.1152</t>
  </si>
  <si>
    <t>Climent, L. - Robustness</t>
  </si>
  <si>
    <t>10.3390/bios2030291</t>
  </si>
  <si>
    <t>10.1021/ci300335m</t>
  </si>
  <si>
    <t>10.1016/j.jcat.2012.04.015</t>
  </si>
  <si>
    <t>10.4271/2012-01-1104</t>
  </si>
  <si>
    <t>10.1007/978-3-642-31522-0_45</t>
  </si>
  <si>
    <t>10.1016/j.jmaa.2011.09.069</t>
  </si>
  <si>
    <t>10.1007/978-3-642-32759-9_5</t>
  </si>
  <si>
    <t>10.1016/j.cattod.2011.03.056</t>
  </si>
  <si>
    <t>10.1007/978-3-642-33765-9_57</t>
  </si>
  <si>
    <t>10.1111/j.1745-459X.2012.00397.x</t>
  </si>
  <si>
    <t>10.1016/j.apcatb.2012.04.007</t>
  </si>
  <si>
    <t>10.1089/dia.2012.0145</t>
  </si>
  <si>
    <t>Cervigon, R. - Predictive</t>
  </si>
  <si>
    <t>10.1109/FPL.2012.6339195</t>
  </si>
  <si>
    <t>10.1117/12.2001296</t>
  </si>
  <si>
    <t>10.3390/s120404237</t>
  </si>
  <si>
    <t>Leskovar, D.I. - Crop</t>
  </si>
  <si>
    <t>10.1007/s11105-012-0427-5</t>
  </si>
  <si>
    <t>10.1109/JPHOT.2012.2223205</t>
  </si>
  <si>
    <t>10.4271/2012-01-0456</t>
  </si>
  <si>
    <t>García, A. - New</t>
  </si>
  <si>
    <t>10.1089/dia.2011.0138</t>
  </si>
  <si>
    <t>10.1016/j.jfoodeng.2011.07.035</t>
  </si>
  <si>
    <t>10.1364/OL.37.002379</t>
  </si>
  <si>
    <t>10.1080/09654313.2012.650906</t>
  </si>
  <si>
    <t>10.1017/S0967199411000104</t>
  </si>
  <si>
    <t>10.1016/j.amc.2012.08.079</t>
  </si>
  <si>
    <t>10.1109/LCOMM.2012.040912.120423</t>
  </si>
  <si>
    <t>SCOPUS/PDI</t>
  </si>
  <si>
    <t>Coef. Spearman 2001-2012</t>
  </si>
  <si>
    <t>Existe correlación</t>
  </si>
  <si>
    <t>NO existe correlación</t>
  </si>
  <si>
    <t>Presupuesto electrónico</t>
  </si>
  <si>
    <t>Presupuesto impreso-Productividad</t>
  </si>
  <si>
    <t>Tamaño muestra Pearson: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</si>
</sst>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5C5C5C"/>
      <name val="Arial Unicode M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.2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91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/>
      <top style="double">
        <color theme="6"/>
      </top>
      <bottom style="thin">
        <color theme="6" tint="0.39997558519241921"/>
      </bottom>
      <diagonal/>
    </border>
    <border>
      <left/>
      <right/>
      <top style="double">
        <color theme="6"/>
      </top>
      <bottom style="thin">
        <color theme="6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/>
      <top style="double">
        <color theme="5"/>
      </top>
      <bottom style="thin">
        <color theme="5" tint="0.39997558519241921"/>
      </bottom>
      <diagonal/>
    </border>
    <border>
      <left/>
      <right/>
      <top style="double">
        <color theme="5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double">
        <color theme="5"/>
      </top>
      <bottom style="thin">
        <color theme="5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/>
      <top style="double">
        <color theme="8"/>
      </top>
      <bottom style="thin">
        <color theme="8" tint="0.39997558519241921"/>
      </bottom>
      <diagonal/>
    </border>
    <border>
      <left/>
      <right/>
      <top style="double">
        <color theme="8"/>
      </top>
      <bottom style="thin">
        <color theme="8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9" tint="0.39997558519241921"/>
      </bottom>
      <diagonal/>
    </border>
    <border>
      <left/>
      <right/>
      <top style="thin">
        <color theme="4" tint="0.39997558519241921"/>
      </top>
      <bottom style="thin">
        <color theme="9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theme="9" tint="0.39997558519241921"/>
      </left>
      <right/>
      <top style="double">
        <color theme="7"/>
      </top>
      <bottom style="thin">
        <color theme="7" tint="0.39997558519241921"/>
      </bottom>
      <diagonal/>
    </border>
    <border>
      <left/>
      <right/>
      <top style="double">
        <color theme="7"/>
      </top>
      <bottom style="thin">
        <color theme="7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double">
        <color theme="9"/>
      </top>
      <bottom style="thin">
        <color theme="9" tint="0.39997558519241921"/>
      </bottom>
      <diagonal/>
    </border>
    <border>
      <left/>
      <right/>
      <top style="double">
        <color theme="9"/>
      </top>
      <bottom style="thin">
        <color theme="9" tint="0.3999755851924192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/>
    <xf numFmtId="3" fontId="0" fillId="0" borderId="0" xfId="1" applyNumberFormat="1" applyFont="1"/>
    <xf numFmtId="0" fontId="4" fillId="0" borderId="3" xfId="0" applyFont="1" applyBorder="1"/>
    <xf numFmtId="3" fontId="4" fillId="0" borderId="4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3" borderId="8" xfId="0" applyFont="1" applyFill="1" applyBorder="1"/>
    <xf numFmtId="10" fontId="0" fillId="3" borderId="9" xfId="1" applyNumberFormat="1" applyFont="1" applyFill="1" applyBorder="1"/>
    <xf numFmtId="0" fontId="4" fillId="0" borderId="12" xfId="0" applyFont="1" applyBorder="1"/>
    <xf numFmtId="0" fontId="3" fillId="4" borderId="14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5" borderId="17" xfId="0" applyFont="1" applyFill="1" applyBorder="1"/>
    <xf numFmtId="3" fontId="0" fillId="5" borderId="18" xfId="0" applyNumberFormat="1" applyFont="1" applyFill="1" applyBorder="1"/>
    <xf numFmtId="3" fontId="0" fillId="5" borderId="19" xfId="0" applyNumberFormat="1" applyFont="1" applyFill="1" applyBorder="1"/>
    <xf numFmtId="0" fontId="0" fillId="0" borderId="17" xfId="0" applyFont="1" applyBorder="1"/>
    <xf numFmtId="3" fontId="0" fillId="0" borderId="18" xfId="0" applyNumberFormat="1" applyFont="1" applyBorder="1"/>
    <xf numFmtId="0" fontId="0" fillId="5" borderId="1" xfId="0" applyFont="1" applyFill="1" applyBorder="1"/>
    <xf numFmtId="10" fontId="0" fillId="5" borderId="18" xfId="1" applyNumberFormat="1" applyFont="1" applyFill="1" applyBorder="1"/>
    <xf numFmtId="10" fontId="0" fillId="5" borderId="19" xfId="1" applyNumberFormat="1" applyFont="1" applyFill="1" applyBorder="1"/>
    <xf numFmtId="10" fontId="0" fillId="0" borderId="18" xfId="1" applyNumberFormat="1" applyFont="1" applyBorder="1"/>
    <xf numFmtId="10" fontId="0" fillId="0" borderId="19" xfId="1" applyNumberFormat="1" applyFont="1" applyBorder="1"/>
    <xf numFmtId="10" fontId="0" fillId="5" borderId="18" xfId="1" applyNumberFormat="1" applyFont="1" applyFill="1" applyBorder="1" applyAlignment="1">
      <alignment horizontal="right"/>
    </xf>
    <xf numFmtId="10" fontId="0" fillId="5" borderId="19" xfId="1" applyNumberFormat="1" applyFont="1" applyFill="1" applyBorder="1" applyAlignment="1">
      <alignment horizontal="right"/>
    </xf>
    <xf numFmtId="10" fontId="0" fillId="0" borderId="0" xfId="1" applyNumberFormat="1" applyFont="1" applyBorder="1"/>
    <xf numFmtId="10" fontId="0" fillId="0" borderId="2" xfId="1" applyNumberFormat="1" applyFont="1" applyBorder="1"/>
    <xf numFmtId="3" fontId="0" fillId="0" borderId="0" xfId="0" applyNumberFormat="1" applyFont="1" applyBorder="1"/>
    <xf numFmtId="0" fontId="3" fillId="6" borderId="20" xfId="0" applyFont="1" applyFill="1" applyBorder="1"/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7" borderId="23" xfId="0" applyFont="1" applyFill="1" applyBorder="1"/>
    <xf numFmtId="3" fontId="0" fillId="7" borderId="24" xfId="0" applyNumberFormat="1" applyFont="1" applyFill="1" applyBorder="1"/>
    <xf numFmtId="3" fontId="0" fillId="7" borderId="25" xfId="0" applyNumberFormat="1" applyFont="1" applyFill="1" applyBorder="1"/>
    <xf numFmtId="0" fontId="0" fillId="0" borderId="23" xfId="0" applyFont="1" applyBorder="1"/>
    <xf numFmtId="3" fontId="0" fillId="0" borderId="24" xfId="0" applyNumberFormat="1" applyFont="1" applyBorder="1"/>
    <xf numFmtId="0" fontId="0" fillId="0" borderId="26" xfId="0" applyFont="1" applyBorder="1"/>
    <xf numFmtId="0" fontId="4" fillId="0" borderId="27" xfId="0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0" fontId="3" fillId="8" borderId="30" xfId="0" applyFont="1" applyFill="1" applyBorder="1"/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0" fillId="9" borderId="33" xfId="0" applyFont="1" applyFill="1" applyBorder="1"/>
    <xf numFmtId="3" fontId="0" fillId="9" borderId="34" xfId="0" applyNumberFormat="1" applyFont="1" applyFill="1" applyBorder="1"/>
    <xf numFmtId="3" fontId="0" fillId="9" borderId="35" xfId="0" applyNumberFormat="1" applyFont="1" applyFill="1" applyBorder="1"/>
    <xf numFmtId="0" fontId="0" fillId="0" borderId="33" xfId="0" applyFont="1" applyBorder="1"/>
    <xf numFmtId="3" fontId="0" fillId="0" borderId="34" xfId="0" applyNumberFormat="1" applyFont="1" applyBorder="1"/>
    <xf numFmtId="0" fontId="0" fillId="0" borderId="36" xfId="0" applyFont="1" applyBorder="1"/>
    <xf numFmtId="0" fontId="4" fillId="0" borderId="37" xfId="0" applyFont="1" applyBorder="1"/>
    <xf numFmtId="3" fontId="0" fillId="3" borderId="0" xfId="0" applyNumberFormat="1" applyFont="1" applyFill="1" applyBorder="1"/>
    <xf numFmtId="3" fontId="0" fillId="3" borderId="11" xfId="0" applyNumberFormat="1" applyFont="1" applyFill="1" applyBorder="1"/>
    <xf numFmtId="0" fontId="3" fillId="10" borderId="39" xfId="0" applyFont="1" applyFill="1" applyBorder="1"/>
    <xf numFmtId="0" fontId="3" fillId="10" borderId="40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  <xf numFmtId="0" fontId="0" fillId="11" borderId="42" xfId="0" applyFont="1" applyFill="1" applyBorder="1"/>
    <xf numFmtId="3" fontId="0" fillId="11" borderId="43" xfId="0" applyNumberFormat="1" applyFont="1" applyFill="1" applyBorder="1"/>
    <xf numFmtId="3" fontId="0" fillId="11" borderId="44" xfId="0" applyNumberFormat="1" applyFont="1" applyFill="1" applyBorder="1"/>
    <xf numFmtId="3" fontId="0" fillId="0" borderId="43" xfId="0" applyNumberFormat="1" applyFont="1" applyFill="1" applyBorder="1"/>
    <xf numFmtId="0" fontId="0" fillId="0" borderId="45" xfId="0" applyFont="1" applyFill="1" applyBorder="1"/>
    <xf numFmtId="3" fontId="0" fillId="0" borderId="0" xfId="0" applyNumberFormat="1" applyFont="1" applyFill="1" applyBorder="1"/>
    <xf numFmtId="0" fontId="3" fillId="12" borderId="47" xfId="0" applyFont="1" applyFill="1" applyBorder="1"/>
    <xf numFmtId="0" fontId="3" fillId="12" borderId="48" xfId="0" applyFont="1" applyFill="1" applyBorder="1" applyAlignment="1">
      <alignment horizontal="center"/>
    </xf>
    <xf numFmtId="0" fontId="3" fillId="12" borderId="49" xfId="0" applyFont="1" applyFill="1" applyBorder="1" applyAlignment="1">
      <alignment horizontal="center"/>
    </xf>
    <xf numFmtId="0" fontId="0" fillId="13" borderId="50" xfId="0" applyFont="1" applyFill="1" applyBorder="1"/>
    <xf numFmtId="0" fontId="0" fillId="13" borderId="51" xfId="0" applyFont="1" applyFill="1" applyBorder="1"/>
    <xf numFmtId="0" fontId="0" fillId="13" borderId="52" xfId="0" applyNumberFormat="1" applyFont="1" applyFill="1" applyBorder="1"/>
    <xf numFmtId="0" fontId="0" fillId="0" borderId="50" xfId="0" applyFont="1" applyFill="1" applyBorder="1"/>
    <xf numFmtId="0" fontId="0" fillId="0" borderId="51" xfId="0" applyFont="1" applyBorder="1"/>
    <xf numFmtId="0" fontId="0" fillId="0" borderId="52" xfId="0" applyNumberFormat="1" applyFont="1" applyBorder="1"/>
    <xf numFmtId="0" fontId="0" fillId="13" borderId="45" xfId="0" applyFont="1" applyFill="1" applyBorder="1"/>
    <xf numFmtId="0" fontId="0" fillId="13" borderId="0" xfId="0" applyFont="1" applyFill="1" applyBorder="1"/>
    <xf numFmtId="0" fontId="0" fillId="13" borderId="53" xfId="0" applyNumberFormat="1" applyFont="1" applyFill="1" applyBorder="1"/>
    <xf numFmtId="0" fontId="4" fillId="0" borderId="54" xfId="0" applyFont="1" applyFill="1" applyBorder="1"/>
    <xf numFmtId="0" fontId="0" fillId="0" borderId="0" xfId="0" applyFont="1" applyFill="1" applyBorder="1"/>
    <xf numFmtId="3" fontId="4" fillId="0" borderId="0" xfId="0" applyNumberFormat="1" applyFont="1" applyBorder="1"/>
    <xf numFmtId="0" fontId="3" fillId="10" borderId="56" xfId="0" applyFont="1" applyFill="1" applyBorder="1"/>
    <xf numFmtId="0" fontId="3" fillId="10" borderId="57" xfId="0" applyFont="1" applyFill="1" applyBorder="1" applyAlignment="1">
      <alignment horizontal="center"/>
    </xf>
    <xf numFmtId="0" fontId="3" fillId="10" borderId="58" xfId="0" applyFont="1" applyFill="1" applyBorder="1" applyAlignment="1">
      <alignment horizontal="center"/>
    </xf>
    <xf numFmtId="3" fontId="4" fillId="11" borderId="43" xfId="0" applyNumberFormat="1" applyFont="1" applyFill="1" applyBorder="1"/>
    <xf numFmtId="3" fontId="4" fillId="11" borderId="44" xfId="0" applyNumberFormat="1" applyFont="1" applyFill="1" applyBorder="1"/>
    <xf numFmtId="0" fontId="0" fillId="0" borderId="45" xfId="0" applyFont="1" applyBorder="1"/>
    <xf numFmtId="3" fontId="4" fillId="0" borderId="46" xfId="0" applyNumberFormat="1" applyFont="1" applyBorder="1"/>
    <xf numFmtId="0" fontId="4" fillId="0" borderId="59" xfId="0" applyFont="1" applyBorder="1"/>
    <xf numFmtId="3" fontId="5" fillId="0" borderId="60" xfId="0" applyNumberFormat="1" applyFont="1" applyBorder="1"/>
    <xf numFmtId="2" fontId="0" fillId="0" borderId="0" xfId="0" applyNumberFormat="1"/>
    <xf numFmtId="0" fontId="6" fillId="0" borderId="0" xfId="0" applyFont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0" fillId="14" borderId="7" xfId="0" applyFont="1" applyFill="1" applyBorder="1"/>
    <xf numFmtId="164" fontId="0" fillId="0" borderId="0" xfId="0" applyNumberFormat="1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164" fontId="0" fillId="0" borderId="67" xfId="0" applyNumberFormat="1" applyBorder="1"/>
    <xf numFmtId="164" fontId="0" fillId="0" borderId="68" xfId="0" applyNumberFormat="1" applyBorder="1"/>
    <xf numFmtId="0" fontId="0" fillId="14" borderId="69" xfId="0" applyFont="1" applyFill="1" applyBorder="1"/>
    <xf numFmtId="0" fontId="0" fillId="0" borderId="71" xfId="0" applyBorder="1" applyAlignment="1">
      <alignment horizontal="center"/>
    </xf>
    <xf numFmtId="0" fontId="2" fillId="16" borderId="72" xfId="3" applyBorder="1"/>
    <xf numFmtId="0" fontId="2" fillId="15" borderId="73" xfId="2" applyBorder="1"/>
    <xf numFmtId="2" fontId="2" fillId="16" borderId="76" xfId="3" applyNumberFormat="1" applyBorder="1" applyAlignment="1">
      <alignment horizontal="center"/>
    </xf>
    <xf numFmtId="2" fontId="2" fillId="16" borderId="74" xfId="3" applyNumberFormat="1" applyBorder="1" applyAlignment="1">
      <alignment horizontal="center"/>
    </xf>
    <xf numFmtId="10" fontId="2" fillId="15" borderId="77" xfId="2" applyNumberFormat="1" applyBorder="1" applyAlignment="1">
      <alignment horizontal="center"/>
    </xf>
    <xf numFmtId="10" fontId="2" fillId="15" borderId="78" xfId="2" applyNumberFormat="1" applyBorder="1" applyAlignment="1">
      <alignment horizontal="center"/>
    </xf>
    <xf numFmtId="10" fontId="2" fillId="15" borderId="75" xfId="2" applyNumberFormat="1" applyBorder="1" applyAlignment="1">
      <alignment horizontal="center"/>
    </xf>
    <xf numFmtId="10" fontId="2" fillId="15" borderId="70" xfId="2" applyNumberFormat="1" applyBorder="1" applyAlignment="1">
      <alignment horizontal="center"/>
    </xf>
    <xf numFmtId="0" fontId="0" fillId="0" borderId="0" xfId="0"/>
    <xf numFmtId="0" fontId="0" fillId="0" borderId="0" xfId="0"/>
    <xf numFmtId="3" fontId="4" fillId="11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11" fillId="5" borderId="14" xfId="4" applyFont="1" applyFill="1" applyBorder="1"/>
    <xf numFmtId="0" fontId="11" fillId="0" borderId="0" xfId="4"/>
    <xf numFmtId="0" fontId="12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18" xfId="0" applyFont="1" applyFill="1" applyBorder="1"/>
    <xf numFmtId="0" fontId="0" fillId="0" borderId="18" xfId="0" applyFont="1" applyBorder="1"/>
    <xf numFmtId="0" fontId="0" fillId="0" borderId="0" xfId="0" applyFont="1" applyBorder="1"/>
    <xf numFmtId="0" fontId="3" fillId="4" borderId="18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0" borderId="17" xfId="0" applyFont="1" applyBorder="1"/>
    <xf numFmtId="10" fontId="4" fillId="0" borderId="18" xfId="0" applyNumberFormat="1" applyFont="1" applyBorder="1"/>
    <xf numFmtId="0" fontId="0" fillId="0" borderId="0" xfId="0" applyFill="1" applyBorder="1"/>
    <xf numFmtId="0" fontId="0" fillId="0" borderId="0" xfId="0"/>
    <xf numFmtId="0" fontId="4" fillId="0" borderId="4" xfId="0" applyFont="1" applyBorder="1"/>
    <xf numFmtId="0" fontId="0" fillId="7" borderId="24" xfId="0" applyFont="1" applyFill="1" applyBorder="1"/>
    <xf numFmtId="0" fontId="0" fillId="0" borderId="24" xfId="0" applyFont="1" applyBorder="1"/>
    <xf numFmtId="0" fontId="4" fillId="0" borderId="28" xfId="0" applyFont="1" applyBorder="1"/>
    <xf numFmtId="0" fontId="0" fillId="9" borderId="34" xfId="0" applyFont="1" applyFill="1" applyBorder="1"/>
    <xf numFmtId="0" fontId="0" fillId="0" borderId="34" xfId="0" applyFont="1" applyBorder="1"/>
    <xf numFmtId="0" fontId="4" fillId="0" borderId="38" xfId="0" applyFont="1" applyBorder="1"/>
    <xf numFmtId="0" fontId="0" fillId="3" borderId="0" xfId="0" applyFont="1" applyFill="1" applyBorder="1"/>
    <xf numFmtId="0" fontId="4" fillId="0" borderId="13" xfId="0" applyFont="1" applyBorder="1"/>
    <xf numFmtId="0" fontId="0" fillId="11" borderId="43" xfId="0" applyFont="1" applyFill="1" applyBorder="1"/>
    <xf numFmtId="0" fontId="0" fillId="0" borderId="43" xfId="0" applyFont="1" applyFill="1" applyBorder="1"/>
    <xf numFmtId="0" fontId="0" fillId="0" borderId="51" xfId="0" applyFont="1" applyFill="1" applyBorder="1"/>
    <xf numFmtId="0" fontId="4" fillId="0" borderId="55" xfId="0" applyFont="1" applyFill="1" applyBorder="1"/>
    <xf numFmtId="0" fontId="13" fillId="0" borderId="0" xfId="0" applyFont="1" applyFill="1"/>
    <xf numFmtId="0" fontId="4" fillId="0" borderId="0" xfId="0" applyFont="1" applyBorder="1"/>
    <xf numFmtId="10" fontId="4" fillId="0" borderId="0" xfId="1" applyNumberFormat="1" applyFont="1" applyBorder="1"/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8" xfId="0" applyBorder="1"/>
    <xf numFmtId="10" fontId="4" fillId="0" borderId="12" xfId="1" applyNumberFormat="1" applyFont="1" applyBorder="1"/>
    <xf numFmtId="3" fontId="4" fillId="0" borderId="59" xfId="0" applyNumberFormat="1" applyFont="1" applyBorder="1"/>
    <xf numFmtId="0" fontId="0" fillId="0" borderId="0" xfId="0" applyAlignment="1">
      <alignment horizontal="center" wrapText="1"/>
    </xf>
    <xf numFmtId="10" fontId="0" fillId="0" borderId="0" xfId="1" applyNumberFormat="1" applyFont="1" applyAlignment="1">
      <alignment wrapText="1"/>
    </xf>
    <xf numFmtId="0" fontId="0" fillId="0" borderId="0" xfId="0" applyFill="1"/>
    <xf numFmtId="0" fontId="13" fillId="0" borderId="0" xfId="0" applyFont="1" applyFill="1" applyBorder="1"/>
    <xf numFmtId="0" fontId="14" fillId="0" borderId="18" xfId="0" applyFont="1" applyBorder="1"/>
    <xf numFmtId="0" fontId="14" fillId="0" borderId="0" xfId="0" applyFont="1" applyFill="1" applyBorder="1"/>
    <xf numFmtId="0" fontId="0" fillId="3" borderId="10" xfId="0" applyFill="1" applyBorder="1"/>
    <xf numFmtId="0" fontId="0" fillId="0" borderId="0" xfId="0"/>
    <xf numFmtId="0" fontId="0" fillId="3" borderId="0" xfId="0" applyFill="1" applyBorder="1"/>
    <xf numFmtId="3" fontId="15" fillId="0" borderId="0" xfId="0" applyNumberFormat="1" applyFont="1"/>
    <xf numFmtId="3" fontId="15" fillId="0" borderId="0" xfId="0" applyNumberFormat="1" applyFont="1" applyBorder="1"/>
    <xf numFmtId="10" fontId="0" fillId="3" borderId="9" xfId="1" applyNumberFormat="1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11" borderId="43" xfId="0" applyNumberFormat="1" applyFont="1" applyFill="1" applyBorder="1" applyAlignment="1">
      <alignment horizontal="center"/>
    </xf>
    <xf numFmtId="0" fontId="4" fillId="0" borderId="84" xfId="0" applyFont="1" applyBorder="1"/>
    <xf numFmtId="0" fontId="4" fillId="0" borderId="85" xfId="0" applyFont="1" applyBorder="1"/>
    <xf numFmtId="3" fontId="13" fillId="0" borderId="0" xfId="0" applyNumberFormat="1" applyFont="1" applyFill="1"/>
    <xf numFmtId="10" fontId="0" fillId="5" borderId="86" xfId="1" applyNumberFormat="1" applyFont="1" applyFill="1" applyBorder="1"/>
    <xf numFmtId="10" fontId="13" fillId="0" borderId="0" xfId="1" applyNumberFormat="1" applyFont="1" applyAlignment="1">
      <alignment wrapText="1"/>
    </xf>
    <xf numFmtId="10" fontId="13" fillId="0" borderId="0" xfId="1" applyNumberFormat="1" applyFont="1" applyAlignment="1">
      <alignment horizontal="center" wrapText="1"/>
    </xf>
    <xf numFmtId="3" fontId="13" fillId="0" borderId="0" xfId="1" applyNumberFormat="1" applyFont="1" applyAlignment="1">
      <alignment wrapText="1"/>
    </xf>
    <xf numFmtId="3" fontId="0" fillId="0" borderId="0" xfId="1" applyNumberFormat="1" applyFont="1" applyAlignment="1">
      <alignment horizontal="center" wrapText="1"/>
    </xf>
    <xf numFmtId="3" fontId="16" fillId="0" borderId="0" xfId="1" applyNumberFormat="1" applyFont="1" applyAlignment="1">
      <alignment horizontal="center" wrapText="1"/>
    </xf>
    <xf numFmtId="3" fontId="16" fillId="0" borderId="0" xfId="0" applyNumberFormat="1" applyFont="1" applyAlignment="1">
      <alignment horizontal="center" wrapText="1"/>
    </xf>
    <xf numFmtId="10" fontId="16" fillId="0" borderId="0" xfId="1" applyNumberFormat="1" applyFont="1" applyAlignment="1">
      <alignment horizontal="center" wrapText="1"/>
    </xf>
    <xf numFmtId="0" fontId="0" fillId="11" borderId="42" xfId="0" applyFill="1" applyBorder="1"/>
    <xf numFmtId="49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3" fontId="0" fillId="0" borderId="82" xfId="0" applyNumberFormat="1" applyBorder="1" applyAlignment="1">
      <alignment wrapText="1"/>
    </xf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83" xfId="0" applyBorder="1"/>
    <xf numFmtId="0" fontId="0" fillId="0" borderId="74" xfId="0" applyBorder="1"/>
    <xf numFmtId="0" fontId="0" fillId="0" borderId="8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/>
    <xf numFmtId="4" fontId="4" fillId="11" borderId="43" xfId="0" applyNumberFormat="1" applyFont="1" applyFill="1" applyBorder="1"/>
    <xf numFmtId="0" fontId="0" fillId="0" borderId="45" xfId="0" applyBorder="1"/>
    <xf numFmtId="4" fontId="4" fillId="0" borderId="0" xfId="0" applyNumberFormat="1" applyFont="1" applyBorder="1"/>
    <xf numFmtId="0" fontId="0" fillId="0" borderId="0" xfId="0"/>
    <xf numFmtId="3" fontId="18" fillId="0" borderId="0" xfId="0" applyNumberFormat="1" applyFont="1"/>
    <xf numFmtId="3" fontId="18" fillId="0" borderId="0" xfId="0" applyNumberFormat="1" applyFont="1" applyBorder="1"/>
    <xf numFmtId="3" fontId="19" fillId="0" borderId="0" xfId="0" applyNumberFormat="1" applyFont="1" applyAlignment="1">
      <alignment horizontal="right" wrapText="1"/>
    </xf>
    <xf numFmtId="49" fontId="17" fillId="0" borderId="0" xfId="0" applyNumberFormat="1" applyFont="1" applyAlignment="1">
      <alignment horizontal="center" wrapText="1"/>
    </xf>
    <xf numFmtId="3" fontId="0" fillId="0" borderId="0" xfId="1" applyNumberFormat="1" applyFont="1" applyAlignment="1">
      <alignment wrapText="1"/>
    </xf>
    <xf numFmtId="0" fontId="0" fillId="0" borderId="82" xfId="0" applyBorder="1" applyAlignment="1">
      <alignment horizontal="center"/>
    </xf>
    <xf numFmtId="2" fontId="0" fillId="0" borderId="82" xfId="0" applyNumberFormat="1" applyBorder="1"/>
    <xf numFmtId="2" fontId="0" fillId="0" borderId="89" xfId="0" applyNumberFormat="1" applyBorder="1"/>
    <xf numFmtId="0" fontId="0" fillId="0" borderId="88" xfId="0" applyBorder="1"/>
    <xf numFmtId="2" fontId="0" fillId="0" borderId="90" xfId="0" applyNumberFormat="1" applyBorder="1"/>
    <xf numFmtId="0" fontId="20" fillId="0" borderId="0" xfId="0" applyFont="1" applyFill="1"/>
    <xf numFmtId="10" fontId="20" fillId="0" borderId="0" xfId="1" applyNumberFormat="1" applyFont="1" applyAlignment="1">
      <alignment wrapText="1"/>
    </xf>
    <xf numFmtId="3" fontId="4" fillId="0" borderId="3" xfId="0" applyNumberFormat="1" applyFont="1" applyBorder="1"/>
    <xf numFmtId="0" fontId="0" fillId="0" borderId="0" xfId="0"/>
    <xf numFmtId="0" fontId="0" fillId="5" borderId="0" xfId="0" applyFont="1" applyFill="1" applyBorder="1"/>
    <xf numFmtId="3" fontId="0" fillId="5" borderId="0" xfId="0" applyNumberFormat="1" applyFont="1" applyFill="1" applyBorder="1"/>
    <xf numFmtId="0" fontId="0" fillId="5" borderId="1" xfId="0" applyFill="1" applyBorder="1"/>
    <xf numFmtId="0" fontId="0" fillId="5" borderId="17" xfId="0" applyFill="1" applyBorder="1"/>
    <xf numFmtId="0" fontId="0" fillId="0" borderId="1" xfId="0" applyBorder="1"/>
    <xf numFmtId="0" fontId="0" fillId="0" borderId="42" xfId="0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8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0" xfId="0"/>
    <xf numFmtId="164" fontId="0" fillId="0" borderId="82" xfId="0" applyNumberFormat="1" applyBorder="1"/>
    <xf numFmtId="3" fontId="4" fillId="0" borderId="0" xfId="0" applyNumberFormat="1" applyFont="1" applyBorder="1" applyAlignment="1">
      <alignment horizontal="right"/>
    </xf>
    <xf numFmtId="0" fontId="0" fillId="0" borderId="7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1" xfId="0" applyBorder="1"/>
    <xf numFmtId="0" fontId="0" fillId="0" borderId="81" xfId="0" applyBorder="1" applyAlignment="1">
      <alignment horizontal="center"/>
    </xf>
    <xf numFmtId="0" fontId="0" fillId="0" borderId="80" xfId="0" applyBorder="1"/>
    <xf numFmtId="0" fontId="0" fillId="0" borderId="83" xfId="0" applyBorder="1" applyAlignment="1">
      <alignment horizontal="left"/>
    </xf>
    <xf numFmtId="0" fontId="0" fillId="0" borderId="74" xfId="0" applyBorder="1" applyAlignment="1">
      <alignment horizontal="left"/>
    </xf>
    <xf numFmtId="0" fontId="4" fillId="0" borderId="82" xfId="0" applyFont="1" applyBorder="1" applyAlignment="1">
      <alignment horizontal="center"/>
    </xf>
    <xf numFmtId="164" fontId="0" fillId="0" borderId="82" xfId="0" applyNumberFormat="1" applyBorder="1" applyAlignment="1">
      <alignment horizontal="center"/>
    </xf>
    <xf numFmtId="0" fontId="0" fillId="0" borderId="82" xfId="0" applyBorder="1"/>
    <xf numFmtId="0" fontId="4" fillId="0" borderId="8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83" xfId="0" applyNumberFormat="1" applyBorder="1" applyAlignment="1">
      <alignment horizontal="center"/>
    </xf>
    <xf numFmtId="164" fontId="0" fillId="0" borderId="74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0" fontId="0" fillId="0" borderId="82" xfId="0" applyBorder="1" applyAlignment="1">
      <alignment horizontal="left"/>
    </xf>
    <xf numFmtId="0" fontId="4" fillId="0" borderId="8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165" fontId="0" fillId="0" borderId="74" xfId="0" applyNumberForma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0" fillId="0" borderId="0" xfId="0"/>
  </cellXfs>
  <cellStyles count="5">
    <cellStyle name="20% - Énfasis2" xfId="2" builtinId="34"/>
    <cellStyle name="20% - Énfasis3" xfId="3" builtinId="38"/>
    <cellStyle name="Hipervínculo" xfId="4" builtinId="8"/>
    <cellStyle name="Normal" xfId="0" builtinId="0"/>
    <cellStyle name="Porcentaje" xfId="1" builtinId="5"/>
  </cellStyles>
  <dxfs count="183"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/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/>
        <bottom style="thin">
          <color theme="9" tint="0.39997558519241921"/>
        </bottom>
      </border>
    </dxf>
    <dxf>
      <font>
        <b/>
      </font>
    </dxf>
    <dxf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 style="thin">
          <color theme="9" tint="0.39997558519241921"/>
        </left>
        <right/>
        <top/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border outline="0">
        <left style="thin">
          <color theme="4" tint="0.39997558519241921"/>
        </left>
        <top style="thin">
          <color theme="4" tint="0.39997558519241921"/>
        </top>
        <bottom style="double">
          <color theme="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numFmt numFmtId="3" formatCode="#,##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Relación referencias/presupuesto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Referencias</c:v>
          </c:tx>
          <c:invertIfNegative val="0"/>
          <c:cat>
            <c:strRef>
              <c:f>Informe!$D$4:$N$4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Informe!$D$12:$N$12</c:f>
              <c:numCache>
                <c:formatCode>0.00%</c:formatCode>
                <c:ptCount val="11"/>
                <c:pt idx="0">
                  <c:v>0.16617862371888736</c:v>
                </c:pt>
                <c:pt idx="1">
                  <c:v>0.23728813559322037</c:v>
                </c:pt>
                <c:pt idx="2">
                  <c:v>0.21258244545915783</c:v>
                </c:pt>
                <c:pt idx="3">
                  <c:v>0.11548117154811721</c:v>
                </c:pt>
                <c:pt idx="4">
                  <c:v>7.2768192048012104E-2</c:v>
                </c:pt>
                <c:pt idx="5">
                  <c:v>0.20209790209790213</c:v>
                </c:pt>
                <c:pt idx="6">
                  <c:v>5.2356020942408321E-2</c:v>
                </c:pt>
                <c:pt idx="7">
                  <c:v>0.16390270867882806</c:v>
                </c:pt>
                <c:pt idx="8">
                  <c:v>2.635953455236284E-2</c:v>
                </c:pt>
                <c:pt idx="9">
                  <c:v>0.15872281351226292</c:v>
                </c:pt>
                <c:pt idx="10">
                  <c:v>-8.5862619808306784E-3</c:v>
                </c:pt>
              </c:numCache>
            </c:numRef>
          </c:val>
        </c:ser>
        <c:ser>
          <c:idx val="1"/>
          <c:order val="1"/>
          <c:tx>
            <c:v>Presupuesto</c:v>
          </c:tx>
          <c:invertIfNegative val="0"/>
          <c:cat>
            <c:strRef>
              <c:f>Informe!$D$4:$N$4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Informe!$D$58:$N$58</c:f>
              <c:numCache>
                <c:formatCode>0.00%</c:formatCode>
                <c:ptCount val="11"/>
                <c:pt idx="0">
                  <c:v>-0.20605297335120609</c:v>
                </c:pt>
                <c:pt idx="1">
                  <c:v>7.6695438841986263E-2</c:v>
                </c:pt>
                <c:pt idx="2">
                  <c:v>-4.8374119218707046E-3</c:v>
                </c:pt>
                <c:pt idx="3">
                  <c:v>0.23077348840468015</c:v>
                </c:pt>
                <c:pt idx="4">
                  <c:v>-0.10459200663978652</c:v>
                </c:pt>
                <c:pt idx="5">
                  <c:v>0.19948518959304451</c:v>
                </c:pt>
                <c:pt idx="6">
                  <c:v>1.4884589898692457E-2</c:v>
                </c:pt>
                <c:pt idx="7">
                  <c:v>-6.1525654490182102E-3</c:v>
                </c:pt>
                <c:pt idx="8">
                  <c:v>-7.6192493024282326E-2</c:v>
                </c:pt>
                <c:pt idx="9">
                  <c:v>-5.4583377084872153E-2</c:v>
                </c:pt>
                <c:pt idx="10">
                  <c:v>5.7211652429434157E-3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06816"/>
        <c:axId val="135307376"/>
      </c:barChart>
      <c:catAx>
        <c:axId val="1353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307376"/>
        <c:crosses val="autoZero"/>
        <c:auto val="1"/>
        <c:lblAlgn val="ctr"/>
        <c:lblOffset val="100"/>
        <c:noMultiLvlLbl val="0"/>
      </c:catAx>
      <c:valAx>
        <c:axId val="1353073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3530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511" l="0.70000000000000095" r="0.70000000000000095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012968967114"/>
          <c:y val="0.14618320045417521"/>
          <c:w val="0.7031224233502178"/>
          <c:h val="0.6423972552020339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cat>
            <c:strRef>
              <c:f>Informe!$F$82:$O$82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Informe!$F$85:$O$85</c:f>
              <c:numCache>
                <c:formatCode>#,##0</c:formatCode>
                <c:ptCount val="10"/>
                <c:pt idx="0">
                  <c:v>23200</c:v>
                </c:pt>
                <c:pt idx="1">
                  <c:v>24200</c:v>
                </c:pt>
                <c:pt idx="2">
                  <c:v>28041</c:v>
                </c:pt>
                <c:pt idx="3">
                  <c:v>44457</c:v>
                </c:pt>
                <c:pt idx="4">
                  <c:v>79839</c:v>
                </c:pt>
                <c:pt idx="5">
                  <c:v>13966</c:v>
                </c:pt>
                <c:pt idx="6">
                  <c:v>15332</c:v>
                </c:pt>
                <c:pt idx="7">
                  <c:v>22668</c:v>
                </c:pt>
                <c:pt idx="8">
                  <c:v>37201</c:v>
                </c:pt>
                <c:pt idx="9">
                  <c:v>35144</c:v>
                </c:pt>
              </c:numCache>
            </c:numRef>
          </c:val>
          <c:smooth val="0"/>
        </c:ser>
        <c:ser>
          <c:idx val="1"/>
          <c:order val="1"/>
          <c:tx>
            <c:v>REBIUN</c:v>
          </c:tx>
          <c:cat>
            <c:strRef>
              <c:f>Informe!$F$82:$O$82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Informe!$F$109:$O$109</c:f>
              <c:numCache>
                <c:formatCode>#,##0</c:formatCode>
                <c:ptCount val="10"/>
                <c:pt idx="0">
                  <c:v>35235.800000000003</c:v>
                </c:pt>
                <c:pt idx="1">
                  <c:v>43096.243902439026</c:v>
                </c:pt>
                <c:pt idx="2">
                  <c:v>58702.142857142855</c:v>
                </c:pt>
                <c:pt idx="3">
                  <c:v>62032.444444444445</c:v>
                </c:pt>
                <c:pt idx="4">
                  <c:v>71687.936170212764</c:v>
                </c:pt>
                <c:pt idx="5">
                  <c:v>87368.25</c:v>
                </c:pt>
                <c:pt idx="6">
                  <c:v>81558.510204081627</c:v>
                </c:pt>
                <c:pt idx="7">
                  <c:v>99102.571428571435</c:v>
                </c:pt>
                <c:pt idx="8">
                  <c:v>108084</c:v>
                </c:pt>
                <c:pt idx="9">
                  <c:v>127829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1216"/>
        <c:axId val="138871776"/>
      </c:lineChart>
      <c:catAx>
        <c:axId val="13887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71776"/>
        <c:crosses val="autoZero"/>
        <c:auto val="1"/>
        <c:lblAlgn val="ctr"/>
        <c:lblOffset val="100"/>
        <c:noMultiLvlLbl val="0"/>
      </c:catAx>
      <c:valAx>
        <c:axId val="138871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87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1757225355566"/>
          <c:y val="0.89157520944556867"/>
          <c:w val="0.58392650590326423"/>
          <c:h val="8.7643175037902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95" r="0.70000000000000095" t="0.750000000000006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012968967114"/>
          <c:y val="0.14618320045417521"/>
          <c:w val="0.7031224233502178"/>
          <c:h val="0.6423972552020339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Informe!$D$86:$O$86</c:f>
              <c:numCache>
                <c:formatCode>#,##0</c:formatCode>
                <c:ptCount val="12"/>
                <c:pt idx="0">
                  <c:v>572</c:v>
                </c:pt>
                <c:pt idx="1">
                  <c:v>1309</c:v>
                </c:pt>
                <c:pt idx="2">
                  <c:v>2947</c:v>
                </c:pt>
                <c:pt idx="3">
                  <c:v>4472</c:v>
                </c:pt>
                <c:pt idx="4">
                  <c:v>10216</c:v>
                </c:pt>
                <c:pt idx="5">
                  <c:v>12047</c:v>
                </c:pt>
                <c:pt idx="6">
                  <c:v>15548</c:v>
                </c:pt>
                <c:pt idx="7">
                  <c:v>9122</c:v>
                </c:pt>
                <c:pt idx="8">
                  <c:v>9045</c:v>
                </c:pt>
                <c:pt idx="9">
                  <c:v>8387</c:v>
                </c:pt>
                <c:pt idx="10">
                  <c:v>8354</c:v>
                </c:pt>
                <c:pt idx="11">
                  <c:v>18722</c:v>
                </c:pt>
              </c:numCache>
            </c:numRef>
          </c:val>
          <c:smooth val="0"/>
        </c:ser>
        <c:ser>
          <c:idx val="1"/>
          <c:order val="1"/>
          <c:tx>
            <c:v>REBIUN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Informe!$D$110:$O$110</c:f>
              <c:numCache>
                <c:formatCode>#,##0</c:formatCode>
                <c:ptCount val="12"/>
                <c:pt idx="0">
                  <c:v>2075.5833333333335</c:v>
                </c:pt>
                <c:pt idx="1">
                  <c:v>3097.125</c:v>
                </c:pt>
                <c:pt idx="2">
                  <c:v>4797.041666666667</c:v>
                </c:pt>
                <c:pt idx="3">
                  <c:v>8761.4693877551017</c:v>
                </c:pt>
                <c:pt idx="4">
                  <c:v>11188.714285714286</c:v>
                </c:pt>
                <c:pt idx="5">
                  <c:v>13312.469387755102</c:v>
                </c:pt>
                <c:pt idx="6">
                  <c:v>15367.734693877552</c:v>
                </c:pt>
                <c:pt idx="7">
                  <c:v>17985.979591836734</c:v>
                </c:pt>
                <c:pt idx="8">
                  <c:v>20407.326530612245</c:v>
                </c:pt>
                <c:pt idx="9">
                  <c:v>21099.530612244896</c:v>
                </c:pt>
                <c:pt idx="10">
                  <c:v>22640</c:v>
                </c:pt>
                <c:pt idx="11">
                  <c:v>23381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79840"/>
        <c:axId val="138980400"/>
      </c:lineChart>
      <c:catAx>
        <c:axId val="13897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980400"/>
        <c:crosses val="autoZero"/>
        <c:auto val="1"/>
        <c:lblAlgn val="ctr"/>
        <c:lblOffset val="100"/>
        <c:noMultiLvlLbl val="0"/>
      </c:catAx>
      <c:valAx>
        <c:axId val="138980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97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1757225355566"/>
          <c:y val="0.89157520944556867"/>
          <c:w val="0.58392650590326423"/>
          <c:h val="8.7643175037902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95" r="0.70000000000000095" t="0.750000000000006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</a:t>
            </a:r>
          </a:p>
        </c:rich>
      </c:tx>
      <c:layout>
        <c:manualLayout>
          <c:xMode val="edge"/>
          <c:yMode val="edge"/>
          <c:x val="0.4089606607446073"/>
          <c:y val="5.03499562554680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Presupuesto!$B$7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6240355211095264E-3"/>
                  <c:y val="-1.111111111111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8721065633285602E-3"/>
                  <c:y val="-3.3333333333333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Presupuesto!$C$4:$N$4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Presupuesto!$C$7:$N$7</c:f>
              <c:numCache>
                <c:formatCode>#,##0</c:formatCode>
                <c:ptCount val="12"/>
                <c:pt idx="0">
                  <c:v>1677787</c:v>
                </c:pt>
                <c:pt idx="1">
                  <c:v>1332074</c:v>
                </c:pt>
                <c:pt idx="2">
                  <c:v>1434238</c:v>
                </c:pt>
                <c:pt idx="3">
                  <c:v>1427300</c:v>
                </c:pt>
                <c:pt idx="4">
                  <c:v>1756683</c:v>
                </c:pt>
                <c:pt idx="5">
                  <c:v>1572948</c:v>
                </c:pt>
                <c:pt idx="6">
                  <c:v>1886727.83</c:v>
                </c:pt>
                <c:pt idx="7">
                  <c:v>1914811</c:v>
                </c:pt>
                <c:pt idx="8">
                  <c:v>1903030</c:v>
                </c:pt>
                <c:pt idx="9">
                  <c:v>1758033.4</c:v>
                </c:pt>
                <c:pt idx="10">
                  <c:v>1662074</c:v>
                </c:pt>
                <c:pt idx="11">
                  <c:v>1671583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85520"/>
        <c:axId val="138086080"/>
      </c:barChart>
      <c:lineChart>
        <c:grouping val="standard"/>
        <c:varyColors val="0"/>
        <c:ser>
          <c:idx val="0"/>
          <c:order val="0"/>
          <c:tx>
            <c:strRef>
              <c:f>Presupuesto!$B$5</c:f>
              <c:strCache>
                <c:ptCount val="1"/>
                <c:pt idx="0">
                  <c:v>Impreso</c:v>
                </c:pt>
              </c:strCache>
            </c:strRef>
          </c:tx>
          <c:cat>
            <c:strRef>
              <c:f>Presupuesto!$C$4:$N$4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Presupuesto!$C$5:$N$5</c:f>
              <c:numCache>
                <c:formatCode>#,##0</c:formatCode>
                <c:ptCount val="12"/>
                <c:pt idx="0">
                  <c:v>1282269</c:v>
                </c:pt>
                <c:pt idx="1">
                  <c:v>1017736</c:v>
                </c:pt>
                <c:pt idx="2">
                  <c:v>970365</c:v>
                </c:pt>
                <c:pt idx="3">
                  <c:v>819359</c:v>
                </c:pt>
                <c:pt idx="4">
                  <c:v>1270407</c:v>
                </c:pt>
                <c:pt idx="5">
                  <c:v>739647</c:v>
                </c:pt>
                <c:pt idx="6">
                  <c:v>749232.83000000007</c:v>
                </c:pt>
                <c:pt idx="7">
                  <c:v>664518</c:v>
                </c:pt>
                <c:pt idx="8">
                  <c:v>542755</c:v>
                </c:pt>
                <c:pt idx="9">
                  <c:v>431726.54999999981</c:v>
                </c:pt>
                <c:pt idx="10">
                  <c:v>355799</c:v>
                </c:pt>
                <c:pt idx="11">
                  <c:v>301529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Presupuesto!$B$6</c:f>
              <c:strCache>
                <c:ptCount val="1"/>
                <c:pt idx="0">
                  <c:v>Electrónico</c:v>
                </c:pt>
              </c:strCache>
            </c:strRef>
          </c:tx>
          <c:cat>
            <c:strRef>
              <c:f>Presupuesto!$C$4:$N$4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Presupuesto!$C$6:$N$6</c:f>
              <c:numCache>
                <c:formatCode>#,##0</c:formatCode>
                <c:ptCount val="12"/>
                <c:pt idx="0">
                  <c:v>395518</c:v>
                </c:pt>
                <c:pt idx="1">
                  <c:v>314338</c:v>
                </c:pt>
                <c:pt idx="2">
                  <c:v>463873</c:v>
                </c:pt>
                <c:pt idx="3">
                  <c:v>607941</c:v>
                </c:pt>
                <c:pt idx="4">
                  <c:v>486276</c:v>
                </c:pt>
                <c:pt idx="5">
                  <c:v>833301</c:v>
                </c:pt>
                <c:pt idx="6">
                  <c:v>1137495</c:v>
                </c:pt>
                <c:pt idx="7">
                  <c:v>1250293</c:v>
                </c:pt>
                <c:pt idx="8">
                  <c:v>1360275</c:v>
                </c:pt>
                <c:pt idx="9">
                  <c:v>1326306.8500000001</c:v>
                </c:pt>
                <c:pt idx="10">
                  <c:v>1306275</c:v>
                </c:pt>
                <c:pt idx="11">
                  <c:v>1370054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85520"/>
        <c:axId val="138086080"/>
      </c:lineChart>
      <c:catAx>
        <c:axId val="13808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086080"/>
        <c:crosses val="autoZero"/>
        <c:auto val="1"/>
        <c:lblAlgn val="ctr"/>
        <c:lblOffset val="100"/>
        <c:noMultiLvlLbl val="0"/>
      </c:catAx>
      <c:valAx>
        <c:axId val="138086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08552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11" l="0.70000000000000095" r="0.70000000000000095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 promedio REBIUN</a:t>
            </a:r>
          </a:p>
        </c:rich>
      </c:tx>
      <c:layout>
        <c:manualLayout>
          <c:xMode val="edge"/>
          <c:yMode val="edge"/>
          <c:x val="0.32178310026478274"/>
          <c:y val="4.63817022872140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Total</c:v>
          </c:tx>
          <c:invertIfNegative val="0"/>
          <c:dLbls>
            <c:dLbl>
              <c:idx val="6"/>
              <c:layout>
                <c:manualLayout>
                  <c:x val="1.6240355211095264E-3"/>
                  <c:y val="-1.111111111111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8721065633285602E-3"/>
                  <c:y val="-3.3333333333333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Presupuesto!$C$33:$N$33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Presupuesto!$C$36:$N$36</c:f>
              <c:numCache>
                <c:formatCode>#,##0</c:formatCode>
                <c:ptCount val="12"/>
                <c:pt idx="0">
                  <c:v>1643021</c:v>
                </c:pt>
                <c:pt idx="1">
                  <c:v>1731668</c:v>
                </c:pt>
                <c:pt idx="2">
                  <c:v>1811952</c:v>
                </c:pt>
                <c:pt idx="3">
                  <c:v>1838220</c:v>
                </c:pt>
                <c:pt idx="4">
                  <c:v>1982669</c:v>
                </c:pt>
                <c:pt idx="5">
                  <c:v>2078337</c:v>
                </c:pt>
                <c:pt idx="6">
                  <c:v>2169838</c:v>
                </c:pt>
                <c:pt idx="7">
                  <c:v>2286737</c:v>
                </c:pt>
                <c:pt idx="8">
                  <c:v>2305204</c:v>
                </c:pt>
                <c:pt idx="9">
                  <c:v>2215992</c:v>
                </c:pt>
                <c:pt idx="10">
                  <c:v>2084951</c:v>
                </c:pt>
                <c:pt idx="11">
                  <c:v>1946606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90000"/>
        <c:axId val="138090560"/>
      </c:barChart>
      <c:lineChart>
        <c:grouping val="standard"/>
        <c:varyColors val="0"/>
        <c:ser>
          <c:idx val="0"/>
          <c:order val="0"/>
          <c:tx>
            <c:v>Impreso</c:v>
          </c:tx>
          <c:val>
            <c:numRef>
              <c:f>Presupuesto!$C$34:$N$34</c:f>
              <c:numCache>
                <c:formatCode>#,##0</c:formatCode>
                <c:ptCount val="12"/>
                <c:pt idx="0">
                  <c:v>1416145</c:v>
                </c:pt>
                <c:pt idx="1">
                  <c:v>1449967</c:v>
                </c:pt>
                <c:pt idx="2">
                  <c:v>1382058</c:v>
                </c:pt>
                <c:pt idx="3">
                  <c:v>1303437</c:v>
                </c:pt>
                <c:pt idx="4">
                  <c:v>1296104</c:v>
                </c:pt>
                <c:pt idx="5">
                  <c:v>1266682</c:v>
                </c:pt>
                <c:pt idx="6">
                  <c:v>1274294</c:v>
                </c:pt>
                <c:pt idx="7">
                  <c:v>1238675</c:v>
                </c:pt>
                <c:pt idx="8">
                  <c:v>1073476</c:v>
                </c:pt>
                <c:pt idx="9">
                  <c:v>984284</c:v>
                </c:pt>
                <c:pt idx="10">
                  <c:v>856654</c:v>
                </c:pt>
                <c:pt idx="11">
                  <c:v>680104</c:v>
                </c:pt>
              </c:numCache>
            </c:numRef>
          </c:val>
          <c:smooth val="0"/>
        </c:ser>
        <c:ser>
          <c:idx val="1"/>
          <c:order val="1"/>
          <c:tx>
            <c:v>Electrónico</c:v>
          </c:tx>
          <c:val>
            <c:numRef>
              <c:f>Presupuesto!$C$35:$N$35</c:f>
              <c:numCache>
                <c:formatCode>#,##0</c:formatCode>
                <c:ptCount val="12"/>
                <c:pt idx="0">
                  <c:v>226876</c:v>
                </c:pt>
                <c:pt idx="1">
                  <c:v>281701</c:v>
                </c:pt>
                <c:pt idx="2">
                  <c:v>429894</c:v>
                </c:pt>
                <c:pt idx="3">
                  <c:v>534783</c:v>
                </c:pt>
                <c:pt idx="4">
                  <c:v>686565</c:v>
                </c:pt>
                <c:pt idx="5">
                  <c:v>811655</c:v>
                </c:pt>
                <c:pt idx="6">
                  <c:v>895544</c:v>
                </c:pt>
                <c:pt idx="7">
                  <c:v>1048062</c:v>
                </c:pt>
                <c:pt idx="8">
                  <c:v>1231728</c:v>
                </c:pt>
                <c:pt idx="9">
                  <c:v>1231708</c:v>
                </c:pt>
                <c:pt idx="10">
                  <c:v>1228297</c:v>
                </c:pt>
                <c:pt idx="11">
                  <c:v>1266502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90000"/>
        <c:axId val="138090560"/>
      </c:lineChart>
      <c:catAx>
        <c:axId val="13809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090560"/>
        <c:crosses val="autoZero"/>
        <c:auto val="1"/>
        <c:lblAlgn val="ctr"/>
        <c:lblOffset val="100"/>
        <c:noMultiLvlLbl val="0"/>
      </c:catAx>
      <c:valAx>
        <c:axId val="138090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09000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11" l="0.70000000000000095" r="0.70000000000000095" t="0.750000000000006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</a:t>
            </a:r>
            <a:r>
              <a:rPr lang="en-US" baseline="0"/>
              <a:t> total anual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Presupuesto total</c:v>
          </c:tx>
          <c:marker>
            <c:symbol val="none"/>
          </c:marker>
          <c:cat>
            <c:strRef>
              <c:f>Informe!$D$48:$O$48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Informe!$D$49:$O$49</c:f>
              <c:numCache>
                <c:formatCode>#,##0</c:formatCode>
                <c:ptCount val="12"/>
                <c:pt idx="0">
                  <c:v>1677787</c:v>
                </c:pt>
                <c:pt idx="1">
                  <c:v>1332074</c:v>
                </c:pt>
                <c:pt idx="2">
                  <c:v>1434238</c:v>
                </c:pt>
                <c:pt idx="3">
                  <c:v>1427300</c:v>
                </c:pt>
                <c:pt idx="4">
                  <c:v>1756683</c:v>
                </c:pt>
                <c:pt idx="5">
                  <c:v>1572948</c:v>
                </c:pt>
                <c:pt idx="6">
                  <c:v>1886727.83</c:v>
                </c:pt>
                <c:pt idx="7">
                  <c:v>1914811</c:v>
                </c:pt>
                <c:pt idx="8">
                  <c:v>1903030</c:v>
                </c:pt>
                <c:pt idx="9">
                  <c:v>1758033.4</c:v>
                </c:pt>
                <c:pt idx="10">
                  <c:v>1662074</c:v>
                </c:pt>
                <c:pt idx="11">
                  <c:v>1671583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309616"/>
        <c:axId val="135310176"/>
      </c:lineChart>
      <c:catAx>
        <c:axId val="13530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310176"/>
        <c:crosses val="autoZero"/>
        <c:auto val="1"/>
        <c:lblAlgn val="ctr"/>
        <c:lblOffset val="100"/>
        <c:noMultiLvlLbl val="0"/>
      </c:catAx>
      <c:valAx>
        <c:axId val="135310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30961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11" l="0.70000000000000095" r="0.70000000000000095" t="0.750000000000006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frente  producción</a:t>
            </a:r>
          </a:p>
        </c:rich>
      </c:tx>
      <c:layout>
        <c:manualLayout>
          <c:xMode val="edge"/>
          <c:yMode val="edge"/>
          <c:x val="0.18205023761031899"/>
          <c:y val="2.395210333729498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SCOPUS</c:v>
          </c:tx>
          <c:marker>
            <c:symbol val="none"/>
          </c:marker>
          <c:cat>
            <c:strRef>
              <c:f>Informe!$D$35:$O$35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Informe!$D$36:$O$36</c:f>
              <c:numCache>
                <c:formatCode>#,##0</c:formatCode>
                <c:ptCount val="12"/>
                <c:pt idx="0">
                  <c:v>487</c:v>
                </c:pt>
                <c:pt idx="1">
                  <c:v>592</c:v>
                </c:pt>
                <c:pt idx="2">
                  <c:v>751</c:v>
                </c:pt>
                <c:pt idx="3">
                  <c:v>989</c:v>
                </c:pt>
                <c:pt idx="4">
                  <c:v>1170</c:v>
                </c:pt>
                <c:pt idx="5">
                  <c:v>1310</c:v>
                </c:pt>
                <c:pt idx="6">
                  <c:v>1602</c:v>
                </c:pt>
                <c:pt idx="7">
                  <c:v>1671</c:v>
                </c:pt>
                <c:pt idx="8">
                  <c:v>1948</c:v>
                </c:pt>
                <c:pt idx="9">
                  <c:v>2013</c:v>
                </c:pt>
                <c:pt idx="10">
                  <c:v>2315</c:v>
                </c:pt>
                <c:pt idx="11">
                  <c:v>2314</c:v>
                </c:pt>
              </c:numCache>
            </c:numRef>
          </c:val>
          <c:smooth val="0"/>
        </c:ser>
        <c:ser>
          <c:idx val="1"/>
          <c:order val="1"/>
          <c:tx>
            <c:v>WoS</c:v>
          </c:tx>
          <c:marker>
            <c:symbol val="none"/>
          </c:marker>
          <c:cat>
            <c:strRef>
              <c:f>Informe!$D$35:$O$35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Informe!$D$40:$O$40</c:f>
              <c:numCache>
                <c:formatCode>#,##0</c:formatCode>
                <c:ptCount val="12"/>
                <c:pt idx="0">
                  <c:v>550</c:v>
                </c:pt>
                <c:pt idx="1">
                  <c:v>610</c:v>
                </c:pt>
                <c:pt idx="2">
                  <c:v>752</c:v>
                </c:pt>
                <c:pt idx="3">
                  <c:v>891</c:v>
                </c:pt>
                <c:pt idx="4">
                  <c:v>1018</c:v>
                </c:pt>
                <c:pt idx="5">
                  <c:v>1079</c:v>
                </c:pt>
                <c:pt idx="6">
                  <c:v>1299</c:v>
                </c:pt>
                <c:pt idx="7">
                  <c:v>1373</c:v>
                </c:pt>
                <c:pt idx="8">
                  <c:v>1589</c:v>
                </c:pt>
                <c:pt idx="9">
                  <c:v>1481</c:v>
                </c:pt>
                <c:pt idx="10">
                  <c:v>1760</c:v>
                </c:pt>
                <c:pt idx="11">
                  <c:v>1680</c:v>
                </c:pt>
              </c:numCache>
            </c:numRef>
          </c:val>
          <c:smooth val="0"/>
        </c:ser>
        <c:ser>
          <c:idx val="2"/>
          <c:order val="2"/>
          <c:tx>
            <c:v>Presupuesto</c:v>
          </c:tx>
          <c:marker>
            <c:symbol val="none"/>
          </c:marker>
          <c:cat>
            <c:strRef>
              <c:f>Informe!$D$35:$O$35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Informe!$D$50:$O$50</c:f>
              <c:numCache>
                <c:formatCode>#,##0</c:formatCode>
                <c:ptCount val="12"/>
                <c:pt idx="0">
                  <c:v>1677.787</c:v>
                </c:pt>
                <c:pt idx="1">
                  <c:v>1332.0740000000001</c:v>
                </c:pt>
                <c:pt idx="2">
                  <c:v>1434.2380000000001</c:v>
                </c:pt>
                <c:pt idx="3">
                  <c:v>1427.3</c:v>
                </c:pt>
                <c:pt idx="4">
                  <c:v>1756.683</c:v>
                </c:pt>
                <c:pt idx="5">
                  <c:v>1572.9480000000001</c:v>
                </c:pt>
                <c:pt idx="6">
                  <c:v>1886.72783</c:v>
                </c:pt>
                <c:pt idx="7">
                  <c:v>1914.8109999999999</c:v>
                </c:pt>
                <c:pt idx="8">
                  <c:v>1903.03</c:v>
                </c:pt>
                <c:pt idx="9">
                  <c:v>1758.0333999999998</c:v>
                </c:pt>
                <c:pt idx="10">
                  <c:v>1662.0740000000001</c:v>
                </c:pt>
                <c:pt idx="11">
                  <c:v>1671.5830000000001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20160"/>
        <c:axId val="138620720"/>
      </c:lineChart>
      <c:catAx>
        <c:axId val="13862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620720"/>
        <c:crosses val="autoZero"/>
        <c:auto val="1"/>
        <c:lblAlgn val="ctr"/>
        <c:lblOffset val="100"/>
        <c:noMultiLvlLbl val="0"/>
      </c:catAx>
      <c:valAx>
        <c:axId val="138620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620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11" l="0.70000000000000095" r="0.70000000000000095" t="0.750000000000005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PDI</a:t>
            </a:r>
            <a:r>
              <a:rPr lang="en-US" baseline="0"/>
              <a:t> UPV</a:t>
            </a:r>
            <a:endParaRPr lang="en-US"/>
          </a:p>
        </c:rich>
      </c:tx>
      <c:layout>
        <c:manualLayout>
          <c:xMode val="edge"/>
          <c:yMode val="edge"/>
          <c:x val="0.47260819493786094"/>
          <c:y val="3.553514144065333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Informe!$C$65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6240355211095264E-3"/>
                  <c:y val="-1.111111111111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065633285602E-3"/>
                  <c:y val="-3.3333333333333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Informe!$D$62:$O$62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Informe!$D$65:$O$65</c:f>
              <c:numCache>
                <c:formatCode>#,##0</c:formatCode>
                <c:ptCount val="12"/>
                <c:pt idx="0">
                  <c:v>2210</c:v>
                </c:pt>
                <c:pt idx="1">
                  <c:v>2329</c:v>
                </c:pt>
                <c:pt idx="2">
                  <c:v>2401</c:v>
                </c:pt>
                <c:pt idx="3">
                  <c:v>2497</c:v>
                </c:pt>
                <c:pt idx="4">
                  <c:v>2600</c:v>
                </c:pt>
                <c:pt idx="5">
                  <c:v>2645</c:v>
                </c:pt>
                <c:pt idx="6">
                  <c:v>2759</c:v>
                </c:pt>
                <c:pt idx="7">
                  <c:v>2778</c:v>
                </c:pt>
                <c:pt idx="8">
                  <c:v>2855</c:v>
                </c:pt>
                <c:pt idx="9">
                  <c:v>2786</c:v>
                </c:pt>
                <c:pt idx="10">
                  <c:v>2770</c:v>
                </c:pt>
                <c:pt idx="11">
                  <c:v>2719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4640"/>
        <c:axId val="138625200"/>
      </c:barChart>
      <c:lineChart>
        <c:grouping val="standard"/>
        <c:varyColors val="0"/>
        <c:ser>
          <c:idx val="0"/>
          <c:order val="0"/>
          <c:tx>
            <c:strRef>
              <c:f>Informe!$C$63</c:f>
              <c:strCache>
                <c:ptCount val="1"/>
                <c:pt idx="0">
                  <c:v>PDI jornada completa</c:v>
                </c:pt>
              </c:strCache>
            </c:strRef>
          </c:tx>
          <c:cat>
            <c:strRef>
              <c:f>Informe!$D$62:$O$62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Informe!$D$63:$O$63</c:f>
              <c:numCache>
                <c:formatCode>#,##0</c:formatCode>
                <c:ptCount val="12"/>
                <c:pt idx="0">
                  <c:v>2210</c:v>
                </c:pt>
                <c:pt idx="1">
                  <c:v>2329</c:v>
                </c:pt>
                <c:pt idx="2">
                  <c:v>1701</c:v>
                </c:pt>
                <c:pt idx="3">
                  <c:v>1679</c:v>
                </c:pt>
                <c:pt idx="4">
                  <c:v>1916</c:v>
                </c:pt>
                <c:pt idx="5">
                  <c:v>2090</c:v>
                </c:pt>
                <c:pt idx="6">
                  <c:v>2122</c:v>
                </c:pt>
                <c:pt idx="7">
                  <c:v>2106</c:v>
                </c:pt>
                <c:pt idx="8">
                  <c:v>2117</c:v>
                </c:pt>
                <c:pt idx="9">
                  <c:v>2090</c:v>
                </c:pt>
                <c:pt idx="10">
                  <c:v>2058</c:v>
                </c:pt>
                <c:pt idx="11">
                  <c:v>2032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Informe!$C$64</c:f>
              <c:strCache>
                <c:ptCount val="1"/>
                <c:pt idx="0">
                  <c:v>PDI jornada parcial</c:v>
                </c:pt>
              </c:strCache>
            </c:strRef>
          </c:tx>
          <c:cat>
            <c:strRef>
              <c:f>Informe!$D$62:$O$62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Informe!$D$64:$O$64</c:f>
              <c:numCache>
                <c:formatCode>#,##0</c:formatCode>
                <c:ptCount val="12"/>
                <c:pt idx="2">
                  <c:v>700</c:v>
                </c:pt>
                <c:pt idx="3">
                  <c:v>818</c:v>
                </c:pt>
                <c:pt idx="4">
                  <c:v>684</c:v>
                </c:pt>
                <c:pt idx="5">
                  <c:v>555</c:v>
                </c:pt>
                <c:pt idx="6">
                  <c:v>637</c:v>
                </c:pt>
                <c:pt idx="7">
                  <c:v>672</c:v>
                </c:pt>
                <c:pt idx="8">
                  <c:v>738</c:v>
                </c:pt>
                <c:pt idx="9">
                  <c:v>696</c:v>
                </c:pt>
                <c:pt idx="10">
                  <c:v>712</c:v>
                </c:pt>
                <c:pt idx="11">
                  <c:v>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4640"/>
        <c:axId val="138625200"/>
      </c:lineChart>
      <c:catAx>
        <c:axId val="13862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625200"/>
        <c:crosses val="autoZero"/>
        <c:auto val="1"/>
        <c:lblAlgn val="ctr"/>
        <c:lblOffset val="100"/>
        <c:noMultiLvlLbl val="0"/>
      </c:catAx>
      <c:valAx>
        <c:axId val="1386252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624640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11" l="0.70000000000000095" r="0.70000000000000095" t="0.750000000000006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PDI</a:t>
            </a:r>
            <a:r>
              <a:rPr lang="en-US" baseline="0"/>
              <a:t> PROMEDIO REBIUN</a:t>
            </a:r>
            <a:endParaRPr lang="en-US"/>
          </a:p>
        </c:rich>
      </c:tx>
      <c:layout>
        <c:manualLayout>
          <c:xMode val="edge"/>
          <c:yMode val="edge"/>
          <c:x val="0.19125581395348837"/>
          <c:y val="2.29188597414627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Informe!$C$72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6240355211095264E-3"/>
                  <c:y val="-1.111111111111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8721065633285602E-3"/>
                  <c:y val="-3.3333333333333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Informe!$D$72:$O$72</c:f>
              <c:numCache>
                <c:formatCode>#,##0</c:formatCode>
                <c:ptCount val="12"/>
                <c:pt idx="0">
                  <c:v>1898.5515672396361</c:v>
                </c:pt>
                <c:pt idx="1">
                  <c:v>1964.2195357833655</c:v>
                </c:pt>
                <c:pt idx="2">
                  <c:v>1975.6563367252543</c:v>
                </c:pt>
                <c:pt idx="3">
                  <c:v>1984.9791666666667</c:v>
                </c:pt>
                <c:pt idx="4">
                  <c:v>2056.7052304964541</c:v>
                </c:pt>
                <c:pt idx="5">
                  <c:v>2136.0070921985816</c:v>
                </c:pt>
                <c:pt idx="6">
                  <c:v>2209.2641843971633</c:v>
                </c:pt>
                <c:pt idx="7">
                  <c:v>2285.075354609929</c:v>
                </c:pt>
                <c:pt idx="8">
                  <c:v>2313.6077127659573</c:v>
                </c:pt>
                <c:pt idx="9">
                  <c:v>2321.3069727891157</c:v>
                </c:pt>
                <c:pt idx="10">
                  <c:v>2392</c:v>
                </c:pt>
                <c:pt idx="11">
                  <c:v>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90544"/>
        <c:axId val="138291104"/>
      </c:barChart>
      <c:lineChart>
        <c:grouping val="standard"/>
        <c:varyColors val="0"/>
        <c:ser>
          <c:idx val="0"/>
          <c:order val="0"/>
          <c:tx>
            <c:strRef>
              <c:f>Informe!$C$70</c:f>
              <c:strCache>
                <c:ptCount val="1"/>
                <c:pt idx="0">
                  <c:v>PDI jornada completa</c:v>
                </c:pt>
              </c:strCache>
            </c:strRef>
          </c:tx>
          <c:cat>
            <c:strRef>
              <c:f>Informe!$D$69:$O$69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Informe!$D$70:$O$70</c:f>
              <c:numCache>
                <c:formatCode>#,##0</c:formatCode>
                <c:ptCount val="12"/>
                <c:pt idx="0">
                  <c:v>1318.7608695652175</c:v>
                </c:pt>
                <c:pt idx="1">
                  <c:v>1380.4468085106382</c:v>
                </c:pt>
                <c:pt idx="2">
                  <c:v>1341.8085106382978</c:v>
                </c:pt>
                <c:pt idx="3">
                  <c:v>1326.9791666666667</c:v>
                </c:pt>
                <c:pt idx="4">
                  <c:v>1374.8541666666667</c:v>
                </c:pt>
                <c:pt idx="5">
                  <c:v>1429.6666666666667</c:v>
                </c:pt>
                <c:pt idx="6">
                  <c:v>1483.5833333333333</c:v>
                </c:pt>
                <c:pt idx="7">
                  <c:v>1470.4583333333333</c:v>
                </c:pt>
                <c:pt idx="8">
                  <c:v>1465.4375</c:v>
                </c:pt>
                <c:pt idx="9">
                  <c:v>1443.2653061224489</c:v>
                </c:pt>
                <c:pt idx="10">
                  <c:v>1480</c:v>
                </c:pt>
                <c:pt idx="11">
                  <c:v>1454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Informe!$C$71</c:f>
              <c:strCache>
                <c:ptCount val="1"/>
                <c:pt idx="0">
                  <c:v>PDI jornada parcial</c:v>
                </c:pt>
              </c:strCache>
            </c:strRef>
          </c:tx>
          <c:cat>
            <c:strRef>
              <c:f>Informe!$D$69:$O$69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Informe!$D$71:$O$71</c:f>
              <c:numCache>
                <c:formatCode>#,##0</c:formatCode>
                <c:ptCount val="12"/>
                <c:pt idx="0">
                  <c:v>579.79069767441865</c:v>
                </c:pt>
                <c:pt idx="1">
                  <c:v>583.77272727272725</c:v>
                </c:pt>
                <c:pt idx="2">
                  <c:v>633.8478260869565</c:v>
                </c:pt>
                <c:pt idx="3">
                  <c:v>658</c:v>
                </c:pt>
                <c:pt idx="4">
                  <c:v>681.85106382978722</c:v>
                </c:pt>
                <c:pt idx="5">
                  <c:v>706.34042553191489</c:v>
                </c:pt>
                <c:pt idx="6">
                  <c:v>725.68085106382978</c:v>
                </c:pt>
                <c:pt idx="7">
                  <c:v>814.61702127659578</c:v>
                </c:pt>
                <c:pt idx="8">
                  <c:v>848.17021276595744</c:v>
                </c:pt>
                <c:pt idx="9">
                  <c:v>878.04166666666663</c:v>
                </c:pt>
                <c:pt idx="10">
                  <c:v>912</c:v>
                </c:pt>
                <c:pt idx="11">
                  <c:v>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90544"/>
        <c:axId val="138291104"/>
      </c:lineChart>
      <c:catAx>
        <c:axId val="138290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8291104"/>
        <c:crosses val="autoZero"/>
        <c:auto val="1"/>
        <c:lblAlgn val="ctr"/>
        <c:lblOffset val="100"/>
        <c:noMultiLvlLbl val="0"/>
      </c:catAx>
      <c:valAx>
        <c:axId val="1382911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29054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11" l="0.70000000000000095" r="0.70000000000000095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012968967114"/>
          <c:y val="0.14618320045417521"/>
          <c:w val="0.7031224233502178"/>
          <c:h val="0.64239725520203395"/>
        </c:manualLayout>
      </c:layout>
      <c:lineChart>
        <c:grouping val="standard"/>
        <c:varyColors val="0"/>
        <c:ser>
          <c:idx val="0"/>
          <c:order val="0"/>
          <c:tx>
            <c:v>PDI UPV</c:v>
          </c:tx>
          <c:dLbls>
            <c:dLbl>
              <c:idx val="0"/>
              <c:layout>
                <c:manualLayout>
                  <c:x val="-6.4851060561712581E-2"/>
                  <c:y val="-5.851619644723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504548036510075E-2"/>
                  <c:y val="5.433646812957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662787802483519E-2"/>
                  <c:y val="-5.433646812957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0495654584118E-2"/>
                  <c:y val="5.851619644723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256822054765182E-2"/>
                  <c:y val="-5.0156739811912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286650793355764E-2"/>
                  <c:y val="4.59770114942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2256822054765182E-2"/>
                  <c:y val="-4.5977340606718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47471929791952E-2"/>
                  <c:y val="5.433646812957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880685045637781E-2"/>
                  <c:y val="-4.59770114942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47471929791952E-2"/>
                  <c:y val="5.0156739811912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Informe!$D$69:$O$69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Informe!$D$65:$O$65</c:f>
              <c:numCache>
                <c:formatCode>#,##0</c:formatCode>
                <c:ptCount val="12"/>
                <c:pt idx="0">
                  <c:v>2210</c:v>
                </c:pt>
                <c:pt idx="1">
                  <c:v>2329</c:v>
                </c:pt>
                <c:pt idx="2">
                  <c:v>2401</c:v>
                </c:pt>
                <c:pt idx="3">
                  <c:v>2497</c:v>
                </c:pt>
                <c:pt idx="4">
                  <c:v>2600</c:v>
                </c:pt>
                <c:pt idx="5">
                  <c:v>2645</c:v>
                </c:pt>
                <c:pt idx="6">
                  <c:v>2759</c:v>
                </c:pt>
                <c:pt idx="7">
                  <c:v>2778</c:v>
                </c:pt>
                <c:pt idx="8">
                  <c:v>2855</c:v>
                </c:pt>
                <c:pt idx="9">
                  <c:v>2786</c:v>
                </c:pt>
                <c:pt idx="10">
                  <c:v>2770</c:v>
                </c:pt>
                <c:pt idx="11">
                  <c:v>2719</c:v>
                </c:pt>
              </c:numCache>
            </c:numRef>
          </c:val>
          <c:smooth val="0"/>
        </c:ser>
        <c:ser>
          <c:idx val="1"/>
          <c:order val="1"/>
          <c:tx>
            <c:v>PDI REBIUN</c:v>
          </c:tx>
          <c:dLbls>
            <c:dLbl>
              <c:idx val="0"/>
              <c:layout>
                <c:manualLayout>
                  <c:x val="-5.7068753550201537E-2"/>
                  <c:y val="-5.433646812957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504548036510075E-2"/>
                  <c:y val="5.433646812957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47471929791952E-2"/>
                  <c:y val="-5.0156739811912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286855048021459E-2"/>
                  <c:y val="6.269592476489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9662787802483519E-2"/>
                  <c:y val="-4.59770114942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7068753550201516E-2"/>
                  <c:y val="-5.0156739811912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504548036510075E-2"/>
                  <c:y val="4.59770114942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9662787802483519E-2"/>
                  <c:y val="-4.597701149425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47471929791952E-2"/>
                  <c:y val="5.0156739811912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Informe!$D$69:$O$69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Informe!$D$72:$O$72</c:f>
              <c:numCache>
                <c:formatCode>#,##0</c:formatCode>
                <c:ptCount val="12"/>
                <c:pt idx="0">
                  <c:v>1898.5515672396361</c:v>
                </c:pt>
                <c:pt idx="1">
                  <c:v>1964.2195357833655</c:v>
                </c:pt>
                <c:pt idx="2">
                  <c:v>1975.6563367252543</c:v>
                </c:pt>
                <c:pt idx="3">
                  <c:v>1984.9791666666667</c:v>
                </c:pt>
                <c:pt idx="4">
                  <c:v>2056.7052304964541</c:v>
                </c:pt>
                <c:pt idx="5">
                  <c:v>2136.0070921985816</c:v>
                </c:pt>
                <c:pt idx="6">
                  <c:v>2209.2641843971633</c:v>
                </c:pt>
                <c:pt idx="7">
                  <c:v>2285.075354609929</c:v>
                </c:pt>
                <c:pt idx="8">
                  <c:v>2313.6077127659573</c:v>
                </c:pt>
                <c:pt idx="9">
                  <c:v>2321.3069727891157</c:v>
                </c:pt>
                <c:pt idx="10">
                  <c:v>2392</c:v>
                </c:pt>
                <c:pt idx="11">
                  <c:v>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94464"/>
        <c:axId val="138295024"/>
      </c:lineChart>
      <c:catAx>
        <c:axId val="1382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295024"/>
        <c:crosses val="autoZero"/>
        <c:auto val="1"/>
        <c:lblAlgn val="ctr"/>
        <c:lblOffset val="100"/>
        <c:noMultiLvlLbl val="0"/>
      </c:catAx>
      <c:valAx>
        <c:axId val="138295024"/>
        <c:scaling>
          <c:orientation val="minMax"/>
          <c:max val="2900"/>
          <c:min val="1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29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1757225355566"/>
          <c:y val="0.89157520944556867"/>
          <c:w val="0.58392650590326423"/>
          <c:h val="8.7643175037902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95" r="0.70000000000000095" t="0.750000000000006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012968967114"/>
          <c:y val="0.14618320045417521"/>
          <c:w val="0.7031224233502178"/>
          <c:h val="0.6423972552020339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Informe!$D$83:$O$83</c:f>
              <c:numCache>
                <c:formatCode>#,##0</c:formatCode>
                <c:ptCount val="12"/>
                <c:pt idx="0">
                  <c:v>305920</c:v>
                </c:pt>
                <c:pt idx="1">
                  <c:v>334000</c:v>
                </c:pt>
                <c:pt idx="2">
                  <c:v>366269</c:v>
                </c:pt>
                <c:pt idx="3">
                  <c:v>397485</c:v>
                </c:pt>
                <c:pt idx="4">
                  <c:v>403330</c:v>
                </c:pt>
                <c:pt idx="5">
                  <c:v>436940</c:v>
                </c:pt>
                <c:pt idx="6">
                  <c:v>463595</c:v>
                </c:pt>
                <c:pt idx="7">
                  <c:v>494082</c:v>
                </c:pt>
                <c:pt idx="8">
                  <c:v>524743</c:v>
                </c:pt>
                <c:pt idx="9">
                  <c:v>555981</c:v>
                </c:pt>
                <c:pt idx="10">
                  <c:v>564507</c:v>
                </c:pt>
                <c:pt idx="11">
                  <c:v>558311</c:v>
                </c:pt>
              </c:numCache>
            </c:numRef>
          </c:val>
          <c:smooth val="0"/>
        </c:ser>
        <c:ser>
          <c:idx val="1"/>
          <c:order val="1"/>
          <c:tx>
            <c:v>REBIUN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Informe!$D$107:$O$107</c:f>
              <c:numCache>
                <c:formatCode>#,##0</c:formatCode>
                <c:ptCount val="12"/>
                <c:pt idx="0">
                  <c:v>519111.83333333331</c:v>
                </c:pt>
                <c:pt idx="1">
                  <c:v>564234.31914893619</c:v>
                </c:pt>
                <c:pt idx="2">
                  <c:v>565838.47916666663</c:v>
                </c:pt>
                <c:pt idx="3">
                  <c:v>594412.69387755101</c:v>
                </c:pt>
                <c:pt idx="4">
                  <c:v>607168.51020408166</c:v>
                </c:pt>
                <c:pt idx="5">
                  <c:v>627166.83673469385</c:v>
                </c:pt>
                <c:pt idx="6">
                  <c:v>653325.55102040817</c:v>
                </c:pt>
                <c:pt idx="7">
                  <c:v>674035.53061224485</c:v>
                </c:pt>
                <c:pt idx="8">
                  <c:v>692506.85714285716</c:v>
                </c:pt>
                <c:pt idx="9">
                  <c:v>702667</c:v>
                </c:pt>
                <c:pt idx="10">
                  <c:v>688234</c:v>
                </c:pt>
                <c:pt idx="11">
                  <c:v>716212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13184"/>
        <c:axId val="138813744"/>
      </c:lineChart>
      <c:catAx>
        <c:axId val="13881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13744"/>
        <c:crosses val="autoZero"/>
        <c:auto val="1"/>
        <c:lblAlgn val="ctr"/>
        <c:lblOffset val="100"/>
        <c:noMultiLvlLbl val="0"/>
      </c:catAx>
      <c:valAx>
        <c:axId val="138813744"/>
        <c:scaling>
          <c:orientation val="minMax"/>
          <c:min val="3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81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1757225355566"/>
          <c:y val="0.89157520944556867"/>
          <c:w val="0.58392650590326423"/>
          <c:h val="8.7643175037902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95" r="0.70000000000000095" t="0.750000000000006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012968967114"/>
          <c:y val="0.14618320045417521"/>
          <c:w val="0.7031224233502178"/>
          <c:h val="0.6423972552020339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Informe!$D$84:$O$84</c:f>
              <c:numCache>
                <c:formatCode>#,##0</c:formatCode>
                <c:ptCount val="12"/>
                <c:pt idx="0">
                  <c:v>1140</c:v>
                </c:pt>
                <c:pt idx="1">
                  <c:v>2439</c:v>
                </c:pt>
                <c:pt idx="2">
                  <c:v>1940</c:v>
                </c:pt>
                <c:pt idx="3">
                  <c:v>2794</c:v>
                </c:pt>
                <c:pt idx="4">
                  <c:v>2634</c:v>
                </c:pt>
                <c:pt idx="5">
                  <c:v>3258</c:v>
                </c:pt>
                <c:pt idx="6">
                  <c:v>624</c:v>
                </c:pt>
                <c:pt idx="7">
                  <c:v>2819</c:v>
                </c:pt>
                <c:pt idx="8">
                  <c:v>2870</c:v>
                </c:pt>
                <c:pt idx="9">
                  <c:v>2960</c:v>
                </c:pt>
                <c:pt idx="10">
                  <c:v>3040</c:v>
                </c:pt>
                <c:pt idx="11">
                  <c:v>3576</c:v>
                </c:pt>
              </c:numCache>
            </c:numRef>
          </c:val>
          <c:smooth val="0"/>
        </c:ser>
        <c:ser>
          <c:idx val="1"/>
          <c:order val="1"/>
          <c:tx>
            <c:v>REBIUN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Informe!$D$108:$O$108</c:f>
              <c:numCache>
                <c:formatCode>#,##0</c:formatCode>
                <c:ptCount val="12"/>
                <c:pt idx="0">
                  <c:v>11288.229166666666</c:v>
                </c:pt>
                <c:pt idx="1">
                  <c:v>12330.979166666666</c:v>
                </c:pt>
                <c:pt idx="2">
                  <c:v>12286.458333333334</c:v>
                </c:pt>
                <c:pt idx="3">
                  <c:v>12432.530612244898</c:v>
                </c:pt>
                <c:pt idx="4">
                  <c:v>12081.857142857143</c:v>
                </c:pt>
                <c:pt idx="5">
                  <c:v>13380.061224489797</c:v>
                </c:pt>
                <c:pt idx="6">
                  <c:v>13089.530612244898</c:v>
                </c:pt>
                <c:pt idx="7">
                  <c:v>12095.693877551021</c:v>
                </c:pt>
                <c:pt idx="8">
                  <c:v>12489.326530612245</c:v>
                </c:pt>
                <c:pt idx="9">
                  <c:v>12128.08</c:v>
                </c:pt>
                <c:pt idx="10">
                  <c:v>11562</c:v>
                </c:pt>
                <c:pt idx="11">
                  <c:v>12479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64496"/>
        <c:axId val="138865056"/>
      </c:lineChart>
      <c:catAx>
        <c:axId val="13886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65056"/>
        <c:crosses val="autoZero"/>
        <c:auto val="1"/>
        <c:lblAlgn val="ctr"/>
        <c:lblOffset val="100"/>
        <c:noMultiLvlLbl val="0"/>
      </c:catAx>
      <c:valAx>
        <c:axId val="138865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86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1757225355566"/>
          <c:y val="0.89157520944556867"/>
          <c:w val="0.58392650590326423"/>
          <c:h val="8.7643175037902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95" r="0.70000000000000095" t="0.750000000000006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8012968967114"/>
          <c:y val="0.14618320045417521"/>
          <c:w val="0.7031224233502178"/>
          <c:h val="0.6423972552020339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Informe!$D$87:$O$87</c:f>
              <c:numCache>
                <c:formatCode>#,##0</c:formatCode>
                <c:ptCount val="12"/>
                <c:pt idx="0">
                  <c:v>70</c:v>
                </c:pt>
                <c:pt idx="1">
                  <c:v>75</c:v>
                </c:pt>
                <c:pt idx="2">
                  <c:v>68</c:v>
                </c:pt>
                <c:pt idx="3">
                  <c:v>73</c:v>
                </c:pt>
                <c:pt idx="4">
                  <c:v>67</c:v>
                </c:pt>
                <c:pt idx="5">
                  <c:v>90</c:v>
                </c:pt>
                <c:pt idx="6">
                  <c:v>81</c:v>
                </c:pt>
                <c:pt idx="7">
                  <c:v>91</c:v>
                </c:pt>
                <c:pt idx="8">
                  <c:v>91</c:v>
                </c:pt>
                <c:pt idx="9">
                  <c:v>79</c:v>
                </c:pt>
                <c:pt idx="10">
                  <c:v>45</c:v>
                </c:pt>
                <c:pt idx="1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v>REBIUN</c:v>
          </c:tx>
          <c:cat>
            <c:strRef>
              <c:f>Informe!$D$82:$O$82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Informe!$D$111:$O$111</c:f>
              <c:numCache>
                <c:formatCode>#,##0</c:formatCode>
                <c:ptCount val="12"/>
                <c:pt idx="0">
                  <c:v>139.375</c:v>
                </c:pt>
                <c:pt idx="1">
                  <c:v>167.625</c:v>
                </c:pt>
                <c:pt idx="2">
                  <c:v>134.85416666666666</c:v>
                </c:pt>
                <c:pt idx="3">
                  <c:v>139.87755102040816</c:v>
                </c:pt>
                <c:pt idx="4">
                  <c:v>133.57142857142858</c:v>
                </c:pt>
                <c:pt idx="5">
                  <c:v>149.32653061224491</c:v>
                </c:pt>
                <c:pt idx="6">
                  <c:v>123.08163265306122</c:v>
                </c:pt>
                <c:pt idx="7">
                  <c:v>131.67346938775509</c:v>
                </c:pt>
                <c:pt idx="8">
                  <c:v>132</c:v>
                </c:pt>
                <c:pt idx="9">
                  <c:v>130.9</c:v>
                </c:pt>
                <c:pt idx="10">
                  <c:v>127</c:v>
                </c:pt>
                <c:pt idx="11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67856"/>
        <c:axId val="138868416"/>
      </c:lineChart>
      <c:catAx>
        <c:axId val="13886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68416"/>
        <c:crosses val="autoZero"/>
        <c:auto val="1"/>
        <c:lblAlgn val="ctr"/>
        <c:lblOffset val="100"/>
        <c:noMultiLvlLbl val="0"/>
      </c:catAx>
      <c:valAx>
        <c:axId val="138868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86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1757225355566"/>
          <c:y val="0.89157520944556867"/>
          <c:w val="0.58392650590326423"/>
          <c:h val="8.76431750379028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95" r="0.70000000000000095" t="0.750000000000006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15</xdr:row>
      <xdr:rowOff>180974</xdr:rowOff>
    </xdr:from>
    <xdr:to>
      <xdr:col>16</xdr:col>
      <xdr:colOff>161924</xdr:colOff>
      <xdr:row>32</xdr:row>
      <xdr:rowOff>171449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409575</xdr:colOff>
      <xdr:row>0</xdr:row>
      <xdr:rowOff>57150</xdr:rowOff>
    </xdr:from>
    <xdr:to>
      <xdr:col>19</xdr:col>
      <xdr:colOff>381000</xdr:colOff>
      <xdr:row>14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</xdr:colOff>
      <xdr:row>13</xdr:row>
      <xdr:rowOff>19051</xdr:rowOff>
    </xdr:from>
    <xdr:to>
      <xdr:col>7</xdr:col>
      <xdr:colOff>176212</xdr:colOff>
      <xdr:row>29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152400</xdr:colOff>
      <xdr:row>55</xdr:row>
      <xdr:rowOff>9525</xdr:rowOff>
    </xdr:from>
    <xdr:to>
      <xdr:col>22</xdr:col>
      <xdr:colOff>28575</xdr:colOff>
      <xdr:row>72</xdr:row>
      <xdr:rowOff>9525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219075</xdr:colOff>
      <xdr:row>54</xdr:row>
      <xdr:rowOff>171451</xdr:rowOff>
    </xdr:from>
    <xdr:to>
      <xdr:col>27</xdr:col>
      <xdr:colOff>504825</xdr:colOff>
      <xdr:row>72</xdr:row>
      <xdr:rowOff>38101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171450</xdr:colOff>
      <xdr:row>72</xdr:row>
      <xdr:rowOff>152400</xdr:rowOff>
    </xdr:from>
    <xdr:to>
      <xdr:col>22</xdr:col>
      <xdr:colOff>495299</xdr:colOff>
      <xdr:row>87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88</xdr:row>
      <xdr:rowOff>28575</xdr:rowOff>
    </xdr:from>
    <xdr:to>
      <xdr:col>22</xdr:col>
      <xdr:colOff>552450</xdr:colOff>
      <xdr:row>97</xdr:row>
      <xdr:rowOff>161925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190500</xdr:colOff>
      <xdr:row>99</xdr:row>
      <xdr:rowOff>0</xdr:rowOff>
    </xdr:from>
    <xdr:to>
      <xdr:col>22</xdr:col>
      <xdr:colOff>561975</xdr:colOff>
      <xdr:row>108</xdr:row>
      <xdr:rowOff>9525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200025</xdr:colOff>
      <xdr:row>108</xdr:row>
      <xdr:rowOff>180974</xdr:rowOff>
    </xdr:from>
    <xdr:to>
      <xdr:col>22</xdr:col>
      <xdr:colOff>571500</xdr:colOff>
      <xdr:row>117</xdr:row>
      <xdr:rowOff>95249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171450</xdr:colOff>
      <xdr:row>118</xdr:row>
      <xdr:rowOff>47625</xdr:rowOff>
    </xdr:from>
    <xdr:to>
      <xdr:col>22</xdr:col>
      <xdr:colOff>542925</xdr:colOff>
      <xdr:row>127</xdr:row>
      <xdr:rowOff>161925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180975</xdr:colOff>
      <xdr:row>128</xdr:row>
      <xdr:rowOff>133350</xdr:rowOff>
    </xdr:from>
    <xdr:to>
      <xdr:col>22</xdr:col>
      <xdr:colOff>552450</xdr:colOff>
      <xdr:row>138</xdr:row>
      <xdr:rowOff>57150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0.18093</cdr:x>
      <cdr:y>0.03448</cdr:y>
    </cdr:from>
    <cdr:to>
      <cdr:x>0.52529</cdr:x>
      <cdr:y>0.17241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85825" y="104776"/>
          <a:ext cx="16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Número</a:t>
          </a:r>
          <a:r>
            <a:rPr lang="es-ES" sz="1100" b="1" baseline="0"/>
            <a:t> </a:t>
          </a:r>
          <a:r>
            <a:rPr lang="es-ES" sz="1800" b="1" baseline="0"/>
            <a:t>de PDI </a:t>
          </a:r>
          <a:endParaRPr lang="es-ES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0.18674</cdr:x>
      <cdr:y>0</cdr:y>
    </cdr:from>
    <cdr:to>
      <cdr:x>0.5311</cdr:x>
      <cdr:y>0.16749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17828" y="0"/>
          <a:ext cx="1692495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Monografías</a:t>
          </a:r>
          <a:endParaRPr lang="es-ES" sz="14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0.18286</cdr:x>
      <cdr:y>0</cdr:y>
    </cdr:from>
    <cdr:to>
      <cdr:x>0.52722</cdr:x>
      <cdr:y>0.13793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02225" y="0"/>
          <a:ext cx="1699055" cy="232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Revistas</a:t>
          </a:r>
          <a:endParaRPr lang="es-ES" sz="14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0.18286</cdr:x>
      <cdr:y>0</cdr:y>
    </cdr:from>
    <cdr:to>
      <cdr:x>0.52722</cdr:x>
      <cdr:y>0.13793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02225" y="0"/>
          <a:ext cx="1699055" cy="232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Bases de datos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0.18286</cdr:x>
      <cdr:y>0</cdr:y>
    </cdr:from>
    <cdr:to>
      <cdr:x>0.52722</cdr:x>
      <cdr:y>0.13793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02225" y="0"/>
          <a:ext cx="1699055" cy="232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e-Monografías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0.18286</cdr:x>
      <cdr:y>0</cdr:y>
    </cdr:from>
    <cdr:to>
      <cdr:x>0.52722</cdr:x>
      <cdr:y>0.13793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02225" y="0"/>
          <a:ext cx="1699055" cy="232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e-Revistas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9</xdr:row>
      <xdr:rowOff>142875</xdr:rowOff>
    </xdr:from>
    <xdr:to>
      <xdr:col>10</xdr:col>
      <xdr:colOff>0</xdr:colOff>
      <xdr:row>27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39</xdr:row>
      <xdr:rowOff>38100</xdr:rowOff>
    </xdr:from>
    <xdr:to>
      <xdr:col>9</xdr:col>
      <xdr:colOff>733426</xdr:colOff>
      <xdr:row>57</xdr:row>
      <xdr:rowOff>38100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C35:O43" totalsRowCount="1">
  <tableColumns count="13">
    <tableColumn id="1" name="BBDD" totalsRowLabel="Total" dataDxfId="182" totalsRowDxfId="181"/>
    <tableColumn id="9" name="2001" totalsRowFunction="custom" dataDxfId="180">
      <totalsRowFormula>SUM(Tabla1[2001])</totalsRowFormula>
    </tableColumn>
    <tableColumn id="8" name="2002" totalsRowFunction="custom" dataDxfId="179">
      <totalsRowFormula>SUM(Tabla1[2002])</totalsRowFormula>
    </tableColumn>
    <tableColumn id="7" name="2003" totalsRowFunction="custom" dataDxfId="178">
      <totalsRowFormula>SUM(Tabla1[2003])</totalsRowFormula>
    </tableColumn>
    <tableColumn id="6" name="2004" totalsRowFunction="custom" dataDxfId="177">
      <totalsRowFormula>SUM(Tabla1[2004])</totalsRowFormula>
    </tableColumn>
    <tableColumn id="2" name="2005" totalsRowFunction="custom" dataDxfId="176">
      <totalsRowFormula>SUM(Tabla1[2005])</totalsRowFormula>
    </tableColumn>
    <tableColumn id="3" name="2006" totalsRowFunction="custom" dataDxfId="175">
      <totalsRowFormula>SUM(Tabla1[2006])</totalsRowFormula>
    </tableColumn>
    <tableColumn id="4" name="2007" totalsRowFunction="custom" dataDxfId="174">
      <totalsRowFormula>SUM(Tabla1[2007])</totalsRowFormula>
    </tableColumn>
    <tableColumn id="5" name="2008" totalsRowFunction="custom" dataDxfId="173">
      <totalsRowFormula>SUM(Tabla1[2008])</totalsRowFormula>
    </tableColumn>
    <tableColumn id="10" name="2009" totalsRowFunction="custom" dataDxfId="172">
      <totalsRowFormula>SUM(Tabla1[2009])</totalsRowFormula>
    </tableColumn>
    <tableColumn id="11" name="2010" totalsRowFunction="custom" dataDxfId="171">
      <totalsRowFormula>SUM(Tabla1[2010])</totalsRowFormula>
    </tableColumn>
    <tableColumn id="12" name="2011" totalsRowFunction="custom" dataDxfId="170">
      <totalsRowFormula>SUM(Tabla1[2011])</totalsRowFormula>
    </tableColumn>
    <tableColumn id="13" name="2012" totalsRowFunction="custom" dataDxfId="169">
      <totalsRowFormula>SUM(Tabla1[2012])</totalsRow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43" name="Tabla43" displayName="Tabla43" ref="B24:M25" totalsRowShown="0">
  <tableColumns count="12">
    <tableColumn id="1" name="BBDD" dataDxfId="70"/>
    <tableColumn id="2" name="2001">
      <calculatedColumnFormula>C15</calculatedColumnFormula>
    </tableColumn>
    <tableColumn id="3" name="2003">
      <calculatedColumnFormula>E15</calculatedColumnFormula>
    </tableColumn>
    <tableColumn id="4" name="2004">
      <calculatedColumnFormula>F15</calculatedColumnFormula>
    </tableColumn>
    <tableColumn id="5" name="2005">
      <calculatedColumnFormula>G15</calculatedColumnFormula>
    </tableColumn>
    <tableColumn id="6" name="2006">
      <calculatedColumnFormula>H15</calculatedColumnFormula>
    </tableColumn>
    <tableColumn id="7" name="2007">
      <calculatedColumnFormula>I15</calculatedColumnFormula>
    </tableColumn>
    <tableColumn id="8" name="2008">
      <calculatedColumnFormula>J15</calculatedColumnFormula>
    </tableColumn>
    <tableColumn id="9" name="2009">
      <calculatedColumnFormula>K15</calculatedColumnFormula>
    </tableColumn>
    <tableColumn id="10" name="2010">
      <calculatedColumnFormula>L15</calculatedColumnFormula>
    </tableColumn>
    <tableColumn id="11" name="2011">
      <calculatedColumnFormula>M15</calculatedColumnFormula>
    </tableColumn>
    <tableColumn id="12" name="2012" dataDxfId="69">
      <calculatedColumnFormula>N15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37" name="Tabla12738" displayName="Tabla12738" ref="B46:N53" totalsRowShown="0" headerRowDxfId="68" dataDxfId="67">
  <tableColumns count="13">
    <tableColumn id="1" name="Colección/Año"/>
    <tableColumn id="2" name="2001" dataDxfId="66">
      <calculatedColumnFormula>Informe!D83</calculatedColumnFormula>
    </tableColumn>
    <tableColumn id="3" name="2002" dataDxfId="65">
      <calculatedColumnFormula>Informe!E83</calculatedColumnFormula>
    </tableColumn>
    <tableColumn id="4" name="2003" dataDxfId="64">
      <calculatedColumnFormula>Informe!F83</calculatedColumnFormula>
    </tableColumn>
    <tableColumn id="5" name="2004" dataDxfId="63">
      <calculatedColumnFormula>Informe!G83</calculatedColumnFormula>
    </tableColumn>
    <tableColumn id="6" name="2005" dataDxfId="62">
      <calculatedColumnFormula>Informe!H83</calculatedColumnFormula>
    </tableColumn>
    <tableColumn id="7" name="2006" dataDxfId="61">
      <calculatedColumnFormula>Informe!I83</calculatedColumnFormula>
    </tableColumn>
    <tableColumn id="8" name="2007" dataDxfId="60">
      <calculatedColumnFormula>Informe!J83</calculatedColumnFormula>
    </tableColumn>
    <tableColumn id="9" name="2008" dataDxfId="59">
      <calculatedColumnFormula>Informe!K83</calculatedColumnFormula>
    </tableColumn>
    <tableColumn id="10" name="2009" dataDxfId="58">
      <calculatedColumnFormula>Informe!L83</calculatedColumnFormula>
    </tableColumn>
    <tableColumn id="11" name="2010" dataDxfId="57">
      <calculatedColumnFormula>Informe!M83</calculatedColumnFormula>
    </tableColumn>
    <tableColumn id="12" name="2011" dataDxfId="56">
      <calculatedColumnFormula>Informe!N83</calculatedColumnFormula>
    </tableColumn>
    <tableColumn id="13" name="2012" dataDxfId="55">
      <calculatedColumnFormula>Informe!O83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45" name="Tabla45" displayName="Tabla45" ref="B40:M41" totalsRowShown="0" headerRowDxfId="54" dataDxfId="53">
  <tableColumns count="12">
    <tableColumn id="1" name="Productividad" dataDxfId="52"/>
    <tableColumn id="2" name="2001" dataDxfId="51"/>
    <tableColumn id="3" name="2003" dataDxfId="50">
      <calculatedColumnFormula>E15/E32</calculatedColumnFormula>
    </tableColumn>
    <tableColumn id="4" name="2004" dataDxfId="49">
      <calculatedColumnFormula>F15/F32</calculatedColumnFormula>
    </tableColumn>
    <tableColumn id="5" name="2005" dataDxfId="48">
      <calculatedColumnFormula>G15/G32</calculatedColumnFormula>
    </tableColumn>
    <tableColumn id="6" name="2006" dataDxfId="47">
      <calculatedColumnFormula>H15/H32</calculatedColumnFormula>
    </tableColumn>
    <tableColumn id="7" name="2007" dataDxfId="46">
      <calculatedColumnFormula>I15/I32</calculatedColumnFormula>
    </tableColumn>
    <tableColumn id="8" name="2008" dataDxfId="45">
      <calculatedColumnFormula>J15/J32</calculatedColumnFormula>
    </tableColumn>
    <tableColumn id="9" name="2009" dataDxfId="44">
      <calculatedColumnFormula>K15/K32</calculatedColumnFormula>
    </tableColumn>
    <tableColumn id="10" name="2010" dataDxfId="43">
      <calculatedColumnFormula>L15/L32</calculatedColumnFormula>
    </tableColumn>
    <tableColumn id="11" name="2011" dataDxfId="42">
      <calculatedColumnFormula>M15/M32</calculatedColumnFormula>
    </tableColumn>
    <tableColumn id="12" name="2012" dataDxfId="41">
      <calculatedColumnFormula>N15/N32</calculatedColumnFormula>
    </tableColumn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id="32" name="Tabla32" displayName="Tabla32" ref="B63:O64" totalsRowShown="0">
  <tableColumns count="14">
    <tableColumn id="1" name="Nombres/Producción"/>
    <tableColumn id="13" name="2001"/>
    <tableColumn id="12" name="2002"/>
    <tableColumn id="8" name="2003"/>
    <tableColumn id="11" name="2004"/>
    <tableColumn id="10" name="2005"/>
    <tableColumn id="9" name="2006"/>
    <tableColumn id="7" name="2007"/>
    <tableColumn id="2" name="2008"/>
    <tableColumn id="3" name="2009"/>
    <tableColumn id="4" name="2010"/>
    <tableColumn id="5" name="2011"/>
    <tableColumn id="14" name="2012"/>
    <tableColumn id="6" name="TOTAL">
      <calculatedColumnFormula>SUM(C64:N64)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9" name="Tabla68910" displayName="Tabla68910" ref="B4:F35" totalsRowCount="1" headerRowDxfId="40">
  <tableColumns count="5">
    <tableColumn id="1" name="Identificador"/>
    <tableColumn id="2" name="Tipología"/>
    <tableColumn id="3" name="Referencias" totalsRowFunction="sum"/>
    <tableColumn id="4" name="Texto completo" totalsRowFunction="sum"/>
    <tableColumn id="5" name="Porcentaje" totalsRowFunction="average" dataDxfId="39" totalsRowDxfId="38">
      <calculatedColumnFormula>Tabla68910[[#This Row],[Texto completo]]/Tabla68910[[#This Row],[Referencias]]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Tabla51418" displayName="Tabla51418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16.xml><?xml version="1.0" encoding="utf-8"?>
<table xmlns="http://schemas.openxmlformats.org/spreadsheetml/2006/main" id="18" name="Tabla101519" displayName="Tabla101519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17.xml><?xml version="1.0" encoding="utf-8"?>
<table xmlns="http://schemas.openxmlformats.org/spreadsheetml/2006/main" id="19" name="Tabla111620" displayName="Tabla111620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18.xml><?xml version="1.0" encoding="utf-8"?>
<table xmlns="http://schemas.openxmlformats.org/spreadsheetml/2006/main" id="20" name="Tabla121721" displayName="Tabla121721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19.xml><?xml version="1.0" encoding="utf-8"?>
<table xmlns="http://schemas.openxmlformats.org/spreadsheetml/2006/main" id="2" name="Tabla689103" displayName="Tabla689103" ref="B4:D105" headerRowDxfId="37">
  <tableColumns count="3">
    <tableColumn id="1" name="Identificador"/>
    <tableColumn id="2" name="Tipología"/>
    <tableColumn id="3" name="Referencias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C48:O50" totalsRowShown="0" dataDxfId="168">
  <tableColumns count="13">
    <tableColumn id="1" name="Presupuesto"/>
    <tableColumn id="9" name="2001" dataDxfId="167"/>
    <tableColumn id="8" name="2002"/>
    <tableColumn id="7" name="2003"/>
    <tableColumn id="6" name="2004"/>
    <tableColumn id="2" name="2005" dataDxfId="166"/>
    <tableColumn id="3" name="2006" dataDxfId="165"/>
    <tableColumn id="4" name="2007" dataDxfId="164"/>
    <tableColumn id="5" name="2008" dataDxfId="163"/>
    <tableColumn id="10" name="2009" dataDxfId="162">
      <calculatedColumnFormula>L48/1000</calculatedColumnFormula>
    </tableColumn>
    <tableColumn id="11" name="2010" dataDxfId="161">
      <calculatedColumnFormula>M48/1000</calculatedColumnFormula>
    </tableColumn>
    <tableColumn id="12" name="2011" dataDxfId="160">
      <calculatedColumnFormula>N48/1000</calculatedColumnFormula>
    </tableColumn>
    <tableColumn id="13" name="2012" dataDxfId="159">
      <calculatedColumnFormula>O48/1000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4" name="Tabla514185" displayName="Tabla514185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1.xml><?xml version="1.0" encoding="utf-8"?>
<table xmlns="http://schemas.openxmlformats.org/spreadsheetml/2006/main" id="25" name="Tabla10151926" displayName="Tabla10151926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22.xml><?xml version="1.0" encoding="utf-8"?>
<table xmlns="http://schemas.openxmlformats.org/spreadsheetml/2006/main" id="8" name="Tabla689" displayName="Tabla689" ref="B4:F35" totalsRowCount="1" headerRowDxfId="36">
  <tableColumns count="5">
    <tableColumn id="1" name="Identificador" totalsRowDxfId="35"/>
    <tableColumn id="2" name="Tipología" totalsRowDxfId="34"/>
    <tableColumn id="3" name="Referencias" totalsRowFunction="custom" totalsRowDxfId="33">
      <totalsRowFormula>SUM(Tabla689[Referencias])</totalsRowFormula>
    </tableColumn>
    <tableColumn id="4" name="Texto completo" totalsRowFunction="custom" totalsRowDxfId="32">
      <totalsRowFormula>SUM(Tabla689[Texto completo])</totalsRowFormula>
    </tableColumn>
    <tableColumn id="5" name="Porcentaje" totalsRowFunction="average" dataDxfId="31" totalsRowDxfId="30">
      <calculatedColumnFormula>Tabla689[[#This Row],[Texto completo]]/Tabla689[[#This Row],[Referencias]]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3" name="Tabla514" displayName="Tabla514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4.xml><?xml version="1.0" encoding="utf-8"?>
<table xmlns="http://schemas.openxmlformats.org/spreadsheetml/2006/main" id="14" name="Tabla1015" displayName="Tabla1015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25.xml><?xml version="1.0" encoding="utf-8"?>
<table xmlns="http://schemas.openxmlformats.org/spreadsheetml/2006/main" id="15" name="Tabla1116" displayName="Tabla1116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6.xml><?xml version="1.0" encoding="utf-8"?>
<table xmlns="http://schemas.openxmlformats.org/spreadsheetml/2006/main" id="16" name="Tabla1217" displayName="Tabla1217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27.xml><?xml version="1.0" encoding="utf-8"?>
<table xmlns="http://schemas.openxmlformats.org/spreadsheetml/2006/main" id="28" name="Tabla68929" displayName="Tabla68929" ref="B4:D52" headerRowDxfId="29">
  <tableColumns count="3">
    <tableColumn id="1" name="Identificador" totalsRowDxfId="28"/>
    <tableColumn id="2" name="Tipología" totalsRowDxfId="27"/>
    <tableColumn id="3" name="Referencias" totalsRowFunction="custom" totalsRowDxfId="26">
      <totalsRowFormula>SUM(Tabla68929[Referencias])</totalsRow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9" name="Tabla51430" displayName="Tabla51430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9.xml><?xml version="1.0" encoding="utf-8"?>
<table xmlns="http://schemas.openxmlformats.org/spreadsheetml/2006/main" id="30" name="Tabla101531" displayName="Tabla101531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id="26" name="Tabla127" displayName="Tabla127" ref="C82:O89" totalsRowShown="0" headerRowDxfId="158" dataDxfId="157">
  <tableColumns count="13">
    <tableColumn id="1" name="Colección/Año"/>
    <tableColumn id="2" name="2001" dataDxfId="156"/>
    <tableColumn id="3" name="2002" dataDxfId="155"/>
    <tableColumn id="4" name="2003" dataDxfId="154"/>
    <tableColumn id="5" name="2004" dataDxfId="153"/>
    <tableColumn id="6" name="2005" dataDxfId="152"/>
    <tableColumn id="7" name="2006" dataDxfId="151"/>
    <tableColumn id="8" name="2007" dataDxfId="150"/>
    <tableColumn id="9" name="2008" dataDxfId="149"/>
    <tableColumn id="10" name="2009" dataDxfId="148"/>
    <tableColumn id="11" name="2010" dataDxfId="147"/>
    <tableColumn id="12" name="2011" dataDxfId="146"/>
    <tableColumn id="13" name="2012" dataDxfId="145"/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id="7" name="Tabla68" displayName="Tabla68" ref="B4:F35" totalsRowCount="1" headerRowDxfId="25">
  <tableColumns count="5">
    <tableColumn id="1" name="Identificador" totalsRowDxfId="24"/>
    <tableColumn id="2" name="Tipología" totalsRowDxfId="23"/>
    <tableColumn id="3" name="Referencias" totalsRowFunction="sum" totalsRowDxfId="22"/>
    <tableColumn id="4" name="Texto completo" totalsRowFunction="custom" totalsRowDxfId="21">
      <totalsRowFormula>SUM(E5:E34)</totalsRowFormula>
    </tableColumn>
    <tableColumn id="5" name="Porcentaje" totalsRowFunction="custom" dataDxfId="20" totalsRowDxfId="19">
      <calculatedColumnFormula>Tabla68[[#This Row],[Texto completo]]/Tabla68[[#This Row],[Referencias]]</calculatedColumnFormula>
      <totalsRowFormula>AVERAGE(Tabla68[Porcentaje])</totalsRow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5" name="Tabla5" displayName="Tabla5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32.xml><?xml version="1.0" encoding="utf-8"?>
<table xmlns="http://schemas.openxmlformats.org/spreadsheetml/2006/main" id="10" name="Tabla10" displayName="Tabla10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3.xml><?xml version="1.0" encoding="utf-8"?>
<table xmlns="http://schemas.openxmlformats.org/spreadsheetml/2006/main" id="11" name="Tabla11" displayName="Tabla11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34.xml><?xml version="1.0" encoding="utf-8"?>
<table xmlns="http://schemas.openxmlformats.org/spreadsheetml/2006/main" id="12" name="Tabla12" displayName="Tabla12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5.xml><?xml version="1.0" encoding="utf-8"?>
<table xmlns="http://schemas.openxmlformats.org/spreadsheetml/2006/main" id="33" name="Tabla6834" displayName="Tabla6834" ref="B4:D81" headerRowDxfId="18">
  <tableColumns count="3">
    <tableColumn id="1" name="Identificador" totalsRowDxfId="17"/>
    <tableColumn id="2" name="Tipología" totalsRowDxfId="16"/>
    <tableColumn id="3" name="Referencias" totalsRowFunction="sum" totalsRowDxfId="15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4" name="Tabla535" displayName="Tabla535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37.xml><?xml version="1.0" encoding="utf-8"?>
<table xmlns="http://schemas.openxmlformats.org/spreadsheetml/2006/main" id="35" name="Tabla1036" displayName="Tabla1036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8.xml><?xml version="1.0" encoding="utf-8"?>
<table xmlns="http://schemas.openxmlformats.org/spreadsheetml/2006/main" id="6" name="Tabla6" displayName="Tabla6" ref="B4:F35" totalsRowCount="1" headerRowDxfId="14">
  <tableColumns count="5">
    <tableColumn id="1" name="Identificador" totalsRowDxfId="9"/>
    <tableColumn id="2" name="Tipología" totalsRowDxfId="8"/>
    <tableColumn id="3" name="Referencias" totalsRowFunction="custom" totalsRowDxfId="7">
      <totalsRowFormula>SUM(Tabla6[Referencias])</totalsRowFormula>
    </tableColumn>
    <tableColumn id="4" name="Texto completo" totalsRowFunction="custom" totalsRowDxfId="6">
      <totalsRowFormula>SUM(Tabla6[Texto completo])</totalsRowFormula>
    </tableColumn>
    <tableColumn id="5" name="Porcentaje" totalsRowFunction="custom" dataDxfId="13" totalsRowDxfId="5">
      <calculatedColumnFormula>Tabla6[[#This Row],[Texto completo]]/Tabla6[[#This Row],[Referencias]]</calculatedColumnFormula>
      <totalsRowFormula>AVERAGE(Tabla6[Porcentaje])</totalsRow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21" name="Tabla5141822" displayName="Tabla5141822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41" name="Tabla41" displayName="Tabla41" ref="C4:J11" totalsRowShown="0" headerRowDxfId="144" headerRowBorderDxfId="143" tableBorderDxfId="142">
  <tableColumns count="8">
    <tableColumn id="1" name="BBDD/año"/>
    <tableColumn id="8" name="2002"/>
    <tableColumn id="7" name="2003"/>
    <tableColumn id="6" name="2004"/>
    <tableColumn id="5" name="2005" dataDxfId="141"/>
    <tableColumn id="2" name="2006" dataDxfId="140"/>
    <tableColumn id="3" name="2007" dataDxfId="139"/>
    <tableColumn id="4" name="2008" dataDxfId="138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22" name="Tabla10151923" displayName="Tabla10151923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1.xml><?xml version="1.0" encoding="utf-8"?>
<table xmlns="http://schemas.openxmlformats.org/spreadsheetml/2006/main" id="23" name="Tabla11162024" displayName="Tabla11162024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2.xml><?xml version="1.0" encoding="utf-8"?>
<table xmlns="http://schemas.openxmlformats.org/spreadsheetml/2006/main" id="24" name="Tabla12172125" displayName="Tabla12172125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3.xml><?xml version="1.0" encoding="utf-8"?>
<table xmlns="http://schemas.openxmlformats.org/spreadsheetml/2006/main" id="38" name="Tabla639" displayName="Tabla639" ref="B4:D35" totalsRowShown="0" headerRowDxfId="12">
  <tableColumns count="3">
    <tableColumn id="1" name="Identificador"/>
    <tableColumn id="2" name="Tipología"/>
    <tableColumn id="3" name="Referencias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39" name="Tabla514182240" displayName="Tabla514182240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5.xml><?xml version="1.0" encoding="utf-8"?>
<table xmlns="http://schemas.openxmlformats.org/spreadsheetml/2006/main" id="40" name="Tabla1015192341" displayName="Tabla1015192341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6.xml><?xml version="1.0" encoding="utf-8"?>
<table xmlns="http://schemas.openxmlformats.org/spreadsheetml/2006/main" id="46" name="Tabla647" displayName="Tabla647" ref="B4:F35" totalsRowCount="1" headerRowDxfId="11">
  <tableColumns count="5">
    <tableColumn id="1" name="Identificador" totalsRowDxfId="4"/>
    <tableColumn id="2" name="Tipología" totalsRowDxfId="3"/>
    <tableColumn id="3" name="Referencias" totalsRowFunction="custom" totalsRowDxfId="2">
      <totalsRowFormula>SUM(Tabla647[Referencias])</totalsRowFormula>
    </tableColumn>
    <tableColumn id="4" name="Texto completo" totalsRowFunction="custom" totalsRowDxfId="1">
      <totalsRowFormula>SUM(Tabla647[Texto completo])</totalsRowFormula>
    </tableColumn>
    <tableColumn id="5" name="Porcentaje" totalsRowFunction="custom" dataDxfId="10" totalsRowDxfId="0">
      <calculatedColumnFormula>Tabla647[[#This Row],[Texto completo]]/Tabla647[[#This Row],[Referencias]]</calculatedColumnFormula>
      <totalsRowFormula>AVERAGE(Tabla647[Porcentaje])</totalsRowFormula>
    </tableColumn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7" name="Tabla514182248" displayName="Tabla514182248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8.xml><?xml version="1.0" encoding="utf-8"?>
<table xmlns="http://schemas.openxmlformats.org/spreadsheetml/2006/main" id="48" name="Tabla1015192349" displayName="Tabla1015192349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9.xml><?xml version="1.0" encoding="utf-8"?>
<table xmlns="http://schemas.openxmlformats.org/spreadsheetml/2006/main" id="49" name="Tabla1116202450" displayName="Tabla1116202450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36" name="Tabla12737" displayName="Tabla12737" ref="C94:N101" totalsRowShown="0" headerRowDxfId="137" dataDxfId="136">
  <tableColumns count="12">
    <tableColumn id="1" name="Colección/Año"/>
    <tableColumn id="3" name="2002" dataDxfId="135">
      <calculatedColumnFormula>E83/D83-1</calculatedColumnFormula>
    </tableColumn>
    <tableColumn id="4" name="2003" dataDxfId="134">
      <calculatedColumnFormula>F83/E83-1</calculatedColumnFormula>
    </tableColumn>
    <tableColumn id="5" name="2004" dataDxfId="133">
      <calculatedColumnFormula>G83/F83-1</calculatedColumnFormula>
    </tableColumn>
    <tableColumn id="6" name="2005" dataDxfId="132">
      <calculatedColumnFormula>H83/G83-1</calculatedColumnFormula>
    </tableColumn>
    <tableColumn id="7" name="2006" dataDxfId="131">
      <calculatedColumnFormula>I83/H83-1</calculatedColumnFormula>
    </tableColumn>
    <tableColumn id="8" name="2007" dataDxfId="130">
      <calculatedColumnFormula>J83/I83-1</calculatedColumnFormula>
    </tableColumn>
    <tableColumn id="9" name="2008" dataDxfId="129">
      <calculatedColumnFormula>K83/J83-1</calculatedColumnFormula>
    </tableColumn>
    <tableColumn id="2" name="2009" dataDxfId="128">
      <calculatedColumnFormula>L83/K83-1</calculatedColumnFormula>
    </tableColumn>
    <tableColumn id="10" name="2010" dataDxfId="127">
      <calculatedColumnFormula>M83/L83-1</calculatedColumnFormula>
    </tableColumn>
    <tableColumn id="11" name="2011" dataDxfId="126">
      <calculatedColumnFormula>N83/M83-1</calculatedColumnFormula>
    </tableColumn>
    <tableColumn id="12" name="2012" dataDxfId="125">
      <calculatedColumnFormula>O83/N83-1</calculatedColumnFormula>
    </tableColumn>
  </tableColumns>
  <tableStyleInfo name="TableStyleMedium1" showFirstColumn="0" showLastColumn="0" showRowStripes="1" showColumnStripes="0"/>
</table>
</file>

<file path=xl/tables/table50.xml><?xml version="1.0" encoding="utf-8"?>
<table xmlns="http://schemas.openxmlformats.org/spreadsheetml/2006/main" id="50" name="Tabla1217212551" displayName="Tabla1217212551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44" name="Tabla12745" displayName="Tabla12745" ref="C106:O111" totalsRowShown="0" headerRowDxfId="124" dataDxfId="123">
  <tableColumns count="13">
    <tableColumn id="1" name="Colección/Año"/>
    <tableColumn id="2" name="2001" dataDxfId="122"/>
    <tableColumn id="3" name="2002" dataDxfId="121"/>
    <tableColumn id="4" name="2003" dataDxfId="120"/>
    <tableColumn id="5" name="2004" dataDxfId="119"/>
    <tableColumn id="6" name="2005" dataDxfId="118"/>
    <tableColumn id="7" name="2006" dataDxfId="117"/>
    <tableColumn id="8" name="2007" dataDxfId="116"/>
    <tableColumn id="9" name="2008" dataDxfId="115"/>
    <tableColumn id="10" name="2009" dataDxfId="114"/>
    <tableColumn id="11" name="2010" dataDxfId="113"/>
    <tableColumn id="12" name="2011" dataDxfId="112"/>
    <tableColumn id="13" name="2012" dataDxfId="111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27" name="Tabla128" displayName="Tabla128" ref="B14:N22" totalsRowCount="1">
  <tableColumns count="13">
    <tableColumn id="1" name="BBDD" totalsRowLabel="Total" dataDxfId="110" totalsRowDxfId="109"/>
    <tableColumn id="2" name="2001" totalsRowFunction="custom" dataDxfId="108">
      <totalsRowFormula>SUM(Tabla128[2001])</totalsRowFormula>
    </tableColumn>
    <tableColumn id="3" name="2002" totalsRowFunction="custom" dataDxfId="107">
      <totalsRowFormula>SUM(Tabla128[2002])</totalsRowFormula>
    </tableColumn>
    <tableColumn id="4" name="2003" totalsRowFunction="custom" dataDxfId="106">
      <totalsRowFormula>SUM(Tabla128[2003])</totalsRowFormula>
    </tableColumn>
    <tableColumn id="5" name="2004" totalsRowFunction="custom" dataDxfId="105">
      <totalsRowFormula>SUM(Tabla128[2004])</totalsRowFormula>
    </tableColumn>
    <tableColumn id="6" name="2005" totalsRowFunction="custom" dataDxfId="104">
      <totalsRowFormula>SUM(Tabla128[2005])</totalsRowFormula>
    </tableColumn>
    <tableColumn id="7" name="2006" totalsRowFunction="custom" dataDxfId="103">
      <totalsRowFormula>SUM(Tabla128[2006])</totalsRowFormula>
    </tableColumn>
    <tableColumn id="8" name="2007" totalsRowFunction="custom" dataDxfId="102">
      <totalsRowFormula>SUM(Tabla128[2007])</totalsRowFormula>
    </tableColumn>
    <tableColumn id="9" name="2008" totalsRowFunction="custom" dataDxfId="101">
      <totalsRowFormula>SUM(Tabla128[2008])</totalsRowFormula>
    </tableColumn>
    <tableColumn id="10" name="2009" totalsRowFunction="custom" dataDxfId="100">
      <totalsRowFormula>SUM(Tabla128[2009])</totalsRowFormula>
    </tableColumn>
    <tableColumn id="11" name="2010" totalsRowFunction="custom" dataDxfId="99">
      <totalsRowFormula>SUM(Tabla128[2010])</totalsRowFormula>
    </tableColumn>
    <tableColumn id="12" name="2011" totalsRowFunction="custom" dataDxfId="98">
      <totalsRowFormula>SUM(Tabla128[2011])</totalsRowFormula>
    </tableColumn>
    <tableColumn id="13" name="2012" totalsRowFunction="custom" dataDxfId="97">
      <totalsRowFormula>SUM(Tabla128[2012])</totalsRow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42" name="Tabla1273743" displayName="Tabla1273743" ref="B63:M70" totalsRowShown="0" headerRowDxfId="96" dataDxfId="95">
  <tableColumns count="12">
    <tableColumn id="1" name="Colección/Año"/>
    <tableColumn id="3" name="2002" dataDxfId="94">
      <calculatedColumnFormula>D47-C47</calculatedColumnFormula>
    </tableColumn>
    <tableColumn id="4" name="2003" dataDxfId="93">
      <calculatedColumnFormula>E47-D47</calculatedColumnFormula>
    </tableColumn>
    <tableColumn id="5" name="2004" dataDxfId="92">
      <calculatedColumnFormula>F47-E47</calculatedColumnFormula>
    </tableColumn>
    <tableColumn id="6" name="2005" dataDxfId="91">
      <calculatedColumnFormula>G47-F47</calculatedColumnFormula>
    </tableColumn>
    <tableColumn id="7" name="2006" dataDxfId="90">
      <calculatedColumnFormula>H47-G47</calculatedColumnFormula>
    </tableColumn>
    <tableColumn id="8" name="2007" dataDxfId="89">
      <calculatedColumnFormula>I47-H47</calculatedColumnFormula>
    </tableColumn>
    <tableColumn id="9" name="2008" dataDxfId="88">
      <calculatedColumnFormula>J47-I47</calculatedColumnFormula>
    </tableColumn>
    <tableColumn id="2" name="2009" dataDxfId="87">
      <calculatedColumnFormula>K47-J47</calculatedColumnFormula>
    </tableColumn>
    <tableColumn id="10" name="2010" dataDxfId="86">
      <calculatedColumnFormula>L47-K47</calculatedColumnFormula>
    </tableColumn>
    <tableColumn id="11" name="2011" dataDxfId="85">
      <calculatedColumnFormula>M47-L47</calculatedColumnFormula>
    </tableColumn>
    <tableColumn id="12" name="2012" dataDxfId="84">
      <calculatedColumnFormula>N47-M47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31" name="Tabla31" displayName="Tabla31" ref="B55:M58" totalsRowShown="0" headerRowDxfId="83" dataDxfId="82">
  <tableColumns count="12">
    <tableColumn id="1" name="Colección/Año"/>
    <tableColumn id="2" name="2001" dataDxfId="81"/>
    <tableColumn id="3" name="2003" dataDxfId="80"/>
    <tableColumn id="4" name="2004" dataDxfId="79"/>
    <tableColumn id="5" name="2005" dataDxfId="78"/>
    <tableColumn id="6" name="2006" dataDxfId="77"/>
    <tableColumn id="7" name="2007" dataDxfId="76"/>
    <tableColumn id="8" name="2008" dataDxfId="75"/>
    <tableColumn id="9" name="2009" dataDxfId="74"/>
    <tableColumn id="10" name="2010" dataDxfId="73"/>
    <tableColumn id="11" name="2011" dataDxfId="72"/>
    <tableColumn id="12" name="2012" dataDxfId="7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vmlDrawing" Target="../drawings/vmlDrawing7.vml"/><Relationship Id="rId5" Type="http://schemas.openxmlformats.org/officeDocument/2006/relationships/comments" Target="../comments7.xml"/><Relationship Id="rId4" Type="http://schemas.openxmlformats.org/officeDocument/2006/relationships/table" Target="../tables/table3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3" Type="http://schemas.openxmlformats.org/officeDocument/2006/relationships/hyperlink" Target="http://www.scopus.com/authid/detail.url?authorId=27267655900&amp;eid=2-s2.0-84855284871" TargetMode="External"/><Relationship Id="rId7" Type="http://schemas.openxmlformats.org/officeDocument/2006/relationships/table" Target="../tables/table38.xml"/><Relationship Id="rId2" Type="http://schemas.openxmlformats.org/officeDocument/2006/relationships/hyperlink" Target="http://www.scopus.com/authid/detail.url?authorId=54419474900&amp;eid=2-s2.0-82955181224" TargetMode="External"/><Relationship Id="rId1" Type="http://schemas.openxmlformats.org/officeDocument/2006/relationships/hyperlink" Target="http://www.scopus.com/authid/detail.url?authorId=25931018600&amp;eid=2-s2.0-84055189960" TargetMode="External"/><Relationship Id="rId6" Type="http://schemas.openxmlformats.org/officeDocument/2006/relationships/hyperlink" Target="http://www.scopus.com/authid/detail.url?authorId=13410544200&amp;eid=2-s2.0-80052596273" TargetMode="External"/><Relationship Id="rId11" Type="http://schemas.openxmlformats.org/officeDocument/2006/relationships/table" Target="../tables/table42.xml"/><Relationship Id="rId5" Type="http://schemas.openxmlformats.org/officeDocument/2006/relationships/hyperlink" Target="http://www.scopus.com/authid/detail.url?authorId=12785047100&amp;eid=2-s2.0-84855321142" TargetMode="External"/><Relationship Id="rId10" Type="http://schemas.openxmlformats.org/officeDocument/2006/relationships/table" Target="../tables/table41.xml"/><Relationship Id="rId4" Type="http://schemas.openxmlformats.org/officeDocument/2006/relationships/hyperlink" Target="http://www.scopus.com/authid/detail.url?authorId=26665707300&amp;eid=2-s2.0-84860551619" TargetMode="External"/><Relationship Id="rId9" Type="http://schemas.openxmlformats.org/officeDocument/2006/relationships/table" Target="../tables/table4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3.xml"/><Relationship Id="rId3" Type="http://schemas.openxmlformats.org/officeDocument/2006/relationships/hyperlink" Target="http://www.scopus.com/authid/detail.url?authorId=27267655900&amp;eid=2-s2.0-84855284871" TargetMode="External"/><Relationship Id="rId7" Type="http://schemas.openxmlformats.org/officeDocument/2006/relationships/vmlDrawing" Target="../drawings/vmlDrawing8.vml"/><Relationship Id="rId2" Type="http://schemas.openxmlformats.org/officeDocument/2006/relationships/hyperlink" Target="http://www.scopus.com/authid/detail.url?authorId=54419474900&amp;eid=2-s2.0-82955181224" TargetMode="External"/><Relationship Id="rId1" Type="http://schemas.openxmlformats.org/officeDocument/2006/relationships/hyperlink" Target="http://www.scopus.com/authid/detail.url?authorId=25931018600&amp;eid=2-s2.0-84055189960" TargetMode="External"/><Relationship Id="rId6" Type="http://schemas.openxmlformats.org/officeDocument/2006/relationships/hyperlink" Target="http://www.scopus.com/authid/detail.url?authorId=13410544200&amp;eid=2-s2.0-80052596273" TargetMode="External"/><Relationship Id="rId11" Type="http://schemas.openxmlformats.org/officeDocument/2006/relationships/comments" Target="../comments8.xml"/><Relationship Id="rId5" Type="http://schemas.openxmlformats.org/officeDocument/2006/relationships/hyperlink" Target="http://www.scopus.com/authid/detail.url?authorId=12785047100&amp;eid=2-s2.0-84855321142" TargetMode="External"/><Relationship Id="rId10" Type="http://schemas.openxmlformats.org/officeDocument/2006/relationships/table" Target="../tables/table45.xml"/><Relationship Id="rId4" Type="http://schemas.openxmlformats.org/officeDocument/2006/relationships/hyperlink" Target="http://www.scopus.com/authid/detail.url?authorId=26665707300&amp;eid=2-s2.0-84860551619" TargetMode="External"/><Relationship Id="rId9" Type="http://schemas.openxmlformats.org/officeDocument/2006/relationships/table" Target="../tables/table4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9.xml"/><Relationship Id="rId3" Type="http://schemas.openxmlformats.org/officeDocument/2006/relationships/hyperlink" Target="http://www.scopus.com/record/display.url?origin=recordpage&amp;eid=2-s2.0-84855959260&amp;citeCnt=1&amp;noHighlight=false&amp;sort=r-f&amp;src=s&amp;nlo=1&amp;nlr=50&amp;nls=&amp;sid=69A6DC8ABBB03ED133C0DC8D3336BEE9.WlW7NKKC52nnQNxjqAQrlA%3a130&amp;sot=afnl&amp;sdt=cl&amp;cluster=scopubyr%2c%222012%22%25" TargetMode="External"/><Relationship Id="rId7" Type="http://schemas.openxmlformats.org/officeDocument/2006/relationships/table" Target="../tables/table48.xml"/><Relationship Id="rId2" Type="http://schemas.openxmlformats.org/officeDocument/2006/relationships/hyperlink" Target="http://www.scopus.com/record/display.url?origin=recordpage&amp;eid=2-s2.0-84875653988&amp;citeCnt=1&amp;noHighlight=false&amp;sort=r-f&amp;src=s&amp;nlo=1&amp;nlr=50&amp;nls=&amp;sid=69A6DC8ABBB03ED133C0DC8D3336BEE9.WlW7NKKC52nnQNxjqAQrlA%3a130&amp;sot=afnl&amp;sdt=cl&amp;cluster=scopubyr%2c%222012%22%25" TargetMode="External"/><Relationship Id="rId1" Type="http://schemas.openxmlformats.org/officeDocument/2006/relationships/hyperlink" Target="http://www.scopus.com/record/display.url?origin=recordpage&amp;eid=2-s2.0-84859169001&amp;citeCnt=1&amp;noHighlight=false&amp;sort=r-f&amp;src=s&amp;nlo=1&amp;nlr=50&amp;nls=&amp;sid=69A6DC8ABBB03ED133C0DC8D3336BEE9.WlW7NKKC52nnQNxjqAQrlA%3a130&amp;sot=afnl&amp;sdt=cl&amp;cluster=scopubyr%2c%222012%22%25" TargetMode="External"/><Relationship Id="rId6" Type="http://schemas.openxmlformats.org/officeDocument/2006/relationships/table" Target="../tables/table47.xml"/><Relationship Id="rId5" Type="http://schemas.openxmlformats.org/officeDocument/2006/relationships/table" Target="../tables/table46.xml"/><Relationship Id="rId4" Type="http://schemas.openxmlformats.org/officeDocument/2006/relationships/hyperlink" Target="http://www.scopus.com/record/display.url?origin=recordpage&amp;eid=2-s2.0-84872138084&amp;citeCnt=1&amp;noHighlight=false&amp;sort=r-f&amp;src=s&amp;nlo=1&amp;nlr=50&amp;nls=&amp;sid=69A6DC8ABBB03ED133C0DC8D3336BEE9.WlW7NKKC52nnQNxjqAQrlA%3a130&amp;sot=afnl&amp;sdt=cl&amp;cluster=scopubyr%2c%222012%22%25" TargetMode="External"/><Relationship Id="rId9" Type="http://schemas.openxmlformats.org/officeDocument/2006/relationships/table" Target="../tables/table5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13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table" Target="../tables/table14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vmlDrawing" Target="../drawings/vmlDrawing5.vml"/><Relationship Id="rId5" Type="http://schemas.openxmlformats.org/officeDocument/2006/relationships/comments" Target="../comments5.xml"/><Relationship Id="rId4" Type="http://schemas.openxmlformats.org/officeDocument/2006/relationships/table" Target="../tables/table2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table" Target="../tables/table22.xml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vmlDrawing" Target="../drawings/vmlDrawing6.vml"/><Relationship Id="rId5" Type="http://schemas.openxmlformats.org/officeDocument/2006/relationships/comments" Target="../comments6.xml"/><Relationship Id="rId4" Type="http://schemas.openxmlformats.org/officeDocument/2006/relationships/table" Target="../tables/table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table" Target="../tables/table30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P111"/>
  <sheetViews>
    <sheetView topLeftCell="B82" workbookViewId="0">
      <selection activeCell="O76" sqref="O76"/>
    </sheetView>
  </sheetViews>
  <sheetFormatPr baseColWidth="10" defaultRowHeight="15" outlineLevelRow="2"/>
  <cols>
    <col min="2" max="2" width="22.42578125" customWidth="1"/>
    <col min="3" max="3" width="23.28515625" customWidth="1"/>
    <col min="4" max="4" width="11.42578125" bestFit="1" customWidth="1"/>
    <col min="6" max="6" width="12" customWidth="1"/>
    <col min="9" max="9" width="12.7109375" customWidth="1"/>
    <col min="14" max="14" width="13" customWidth="1"/>
    <col min="15" max="16" width="12.42578125" customWidth="1"/>
  </cols>
  <sheetData>
    <row r="2" spans="3:16" ht="23.25">
      <c r="C2" s="2" t="s">
        <v>48</v>
      </c>
      <c r="M2" s="2"/>
    </row>
    <row r="4" spans="3:16">
      <c r="C4" s="147" t="s">
        <v>37</v>
      </c>
      <c r="D4" s="1" t="s">
        <v>363</v>
      </c>
      <c r="E4" s="1" t="s">
        <v>364</v>
      </c>
      <c r="F4" s="1" t="s">
        <v>356</v>
      </c>
      <c r="G4" s="148" t="s">
        <v>357</v>
      </c>
      <c r="H4" s="148" t="s">
        <v>358</v>
      </c>
      <c r="I4" s="148" t="s">
        <v>359</v>
      </c>
      <c r="J4" s="148" t="s">
        <v>8</v>
      </c>
      <c r="K4" s="148" t="s">
        <v>9</v>
      </c>
      <c r="L4" s="148" t="s">
        <v>10</v>
      </c>
      <c r="M4" s="149" t="s">
        <v>11</v>
      </c>
      <c r="N4" s="149" t="s">
        <v>397</v>
      </c>
      <c r="O4" s="143"/>
      <c r="P4" s="143"/>
    </row>
    <row r="5" spans="3:16">
      <c r="C5" s="144" t="s">
        <v>0</v>
      </c>
      <c r="D5" s="22">
        <f>BBDD!D10/BBDD!C10-1</f>
        <v>0.21560574948665301</v>
      </c>
      <c r="E5" s="22">
        <f>BBDD!E10/BBDD!D10-1</f>
        <v>0.26858108108108114</v>
      </c>
      <c r="F5" s="22">
        <f>BBDD!F10/BBDD!E10-1</f>
        <v>0.31691078561917441</v>
      </c>
      <c r="G5" s="22">
        <f>BBDD!G10/BBDD!F10-1</f>
        <v>0.18301314459049545</v>
      </c>
      <c r="H5" s="22">
        <f>BBDD!H10/BBDD!G10-1</f>
        <v>0.11965811965811968</v>
      </c>
      <c r="I5" s="22">
        <f>BBDD!I10/BBDD!H10-1</f>
        <v>0.22290076335877873</v>
      </c>
      <c r="J5" s="22">
        <f>BBDD!J10/BBDD!I10-1</f>
        <v>4.3071161048689133E-2</v>
      </c>
      <c r="K5" s="22">
        <f>BBDD!K10/BBDD!J10-1</f>
        <v>0.16576900059844402</v>
      </c>
      <c r="L5" s="22">
        <f>BBDD!L10/BBDD!K10-1</f>
        <v>3.3367556468172577E-2</v>
      </c>
      <c r="M5" s="23">
        <f>BBDD!M10/BBDD!L10-1</f>
        <v>0.15002483854942872</v>
      </c>
      <c r="N5" s="23">
        <f>BBDD!N10/BBDD!M10-1</f>
        <v>-4.3196544276458138E-4</v>
      </c>
      <c r="O5" s="143"/>
      <c r="P5" s="143"/>
    </row>
    <row r="6" spans="3:16">
      <c r="C6" s="179" t="s">
        <v>13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  <c r="N6" s="25">
        <v>0</v>
      </c>
      <c r="O6" s="143"/>
      <c r="P6" s="143"/>
    </row>
    <row r="7" spans="3:16">
      <c r="C7" s="144" t="s">
        <v>33</v>
      </c>
      <c r="D7" s="22">
        <f>BBDD!D74/BBDD!C74-1</f>
        <v>0.32432432432432434</v>
      </c>
      <c r="E7" s="22">
        <f>BBDD!E74/BBDD!D74-1</f>
        <v>0.29591836734693877</v>
      </c>
      <c r="F7" s="22">
        <f>BBDD!F74/BBDD!E74-1</f>
        <v>-0.26771653543307083</v>
      </c>
      <c r="G7" s="22">
        <f>BBDD!G74/BBDD!F74-1</f>
        <v>0.41935483870967749</v>
      </c>
      <c r="H7" s="22">
        <f>BBDD!H74/BBDD!G74-1</f>
        <v>-0.12878787878787878</v>
      </c>
      <c r="I7" s="22">
        <f>BBDD!I74/BBDD!H74-1</f>
        <v>0.23478260869565215</v>
      </c>
      <c r="J7" s="22">
        <f>BBDD!J74/BBDD!I74-1</f>
        <v>0.15492957746478875</v>
      </c>
      <c r="K7" s="22">
        <f>BBDD!K74/BBDD!J74-1</f>
        <v>-5.4878048780487854E-2</v>
      </c>
      <c r="L7" s="22">
        <f>BBDD!$L$74/BBDD!$K$74-1</f>
        <v>0.3032258064516129</v>
      </c>
      <c r="M7" s="23">
        <f>BBDD!M74/BBDD!L74-1</f>
        <v>0.16336633663366329</v>
      </c>
      <c r="N7" s="23">
        <f>BBDD!N74/BBDD!M74-1</f>
        <v>2.5531914893617058E-2</v>
      </c>
      <c r="O7" s="143"/>
      <c r="P7" s="143"/>
    </row>
    <row r="8" spans="3:16">
      <c r="C8" s="145" t="s">
        <v>36</v>
      </c>
      <c r="D8" s="24">
        <f>BBDD!D39/BBDD!C39-1</f>
        <v>0.20134228187919456</v>
      </c>
      <c r="E8" s="24">
        <f>BBDD!E39/BBDD!D39-1</f>
        <v>0.13407821229050287</v>
      </c>
      <c r="F8" s="24">
        <f>BBDD!F39/BBDD!E39-1</f>
        <v>0.1576354679802956</v>
      </c>
      <c r="G8" s="24">
        <f>BBDD!G39/BBDD!F39-1</f>
        <v>-4.2553191489361653E-2</v>
      </c>
      <c r="H8" s="24">
        <f>BBDD!H39/BBDD!G39-1</f>
        <v>8.8888888888888795E-2</v>
      </c>
      <c r="I8" s="24">
        <f>BBDD!I39/BBDD!H39-1</f>
        <v>3.6734693877551017E-2</v>
      </c>
      <c r="J8" s="24">
        <f>BBDD!J39/BBDD!I39-1</f>
        <v>0.12204724409448819</v>
      </c>
      <c r="K8" s="24">
        <f>BBDD!K39/BBDD!J39-1</f>
        <v>0.33333333333333326</v>
      </c>
      <c r="L8" s="24">
        <f>BBDD!$L$39/BBDD!$K$39-1</f>
        <v>0.21315789473684221</v>
      </c>
      <c r="M8" s="25">
        <f>BBDD!M39/BBDD!L39-1</f>
        <v>0.10845986984815625</v>
      </c>
      <c r="N8" s="25">
        <f>BBDD!N39/BBDD!M39-1</f>
        <v>6.0665362035225101E-2</v>
      </c>
      <c r="O8" s="143"/>
      <c r="P8" s="143"/>
    </row>
    <row r="9" spans="3:16">
      <c r="C9" s="144" t="s">
        <v>47</v>
      </c>
      <c r="D9" s="26">
        <f>BBDD!D49/BBDD!C49-1</f>
        <v>0.10909090909090913</v>
      </c>
      <c r="E9" s="26">
        <f>BBDD!E49/BBDD!D49-1</f>
        <v>0.23278688524590163</v>
      </c>
      <c r="F9" s="26">
        <f>BBDD!F49/BBDD!E49-1</f>
        <v>0.18484042553191493</v>
      </c>
      <c r="G9" s="26">
        <f>BBDD!G49/BBDD!F49-1</f>
        <v>0.14253647586980911</v>
      </c>
      <c r="H9" s="26">
        <f>BBDD!H49/BBDD!G49-1</f>
        <v>5.9921414538310458E-2</v>
      </c>
      <c r="I9" s="26">
        <f>BBDD!I49/BBDD!H49-1</f>
        <v>0.20389249304911949</v>
      </c>
      <c r="J9" s="26">
        <f>BBDD!J49/BBDD!I49-1</f>
        <v>5.6966897613548895E-2</v>
      </c>
      <c r="K9" s="26">
        <f>BBDD!K49/BBDD!J49-1</f>
        <v>0.15731973780043695</v>
      </c>
      <c r="L9" s="26">
        <f>BBDD!L49/BBDD!K49-1</f>
        <v>-6.7967275015733186E-2</v>
      </c>
      <c r="M9" s="27">
        <f>BBDD!M49/BBDD!L49-1</f>
        <v>0.18838622552329509</v>
      </c>
      <c r="N9" s="27">
        <f>BBDD!N49/BBDD!M49-1</f>
        <v>-4.5454545454545414E-2</v>
      </c>
    </row>
    <row r="10" spans="3:16" outlineLevel="2">
      <c r="C10" s="146" t="s">
        <v>42</v>
      </c>
      <c r="D10" s="28">
        <f>BBDD!D58/BBDD!C58-1</f>
        <v>0.44444444444444442</v>
      </c>
      <c r="E10" s="28">
        <f>BBDD!E58/BBDD!D58-1</f>
        <v>0</v>
      </c>
      <c r="F10" s="28">
        <f>BBDD!F58/BBDD!E58-1</f>
        <v>-7.6923076923076872E-2</v>
      </c>
      <c r="G10" s="28">
        <f>BBDD!G58/BBDD!F58-1</f>
        <v>-8.333333333333337E-2</v>
      </c>
      <c r="H10" s="28">
        <f>BBDD!H58/BBDD!G58-1</f>
        <v>0.90909090909090917</v>
      </c>
      <c r="I10" s="28">
        <f>BBDD!I58/BBDD!H58-1</f>
        <v>0.23809523809523814</v>
      </c>
      <c r="J10" s="28">
        <f>BBDD!J58/BBDD!I58-1</f>
        <v>-0.30769230769230771</v>
      </c>
      <c r="K10" s="28">
        <f>BBDD!K58/BBDD!J58-1</f>
        <v>0.77777777777777768</v>
      </c>
      <c r="L10" s="28">
        <f>BBDD!$L$58/BBDD!$K$58-1</f>
        <v>0.71875</v>
      </c>
      <c r="M10" s="29">
        <f>BBDD!M58/BBDD!L58-1</f>
        <v>0.30909090909090908</v>
      </c>
      <c r="N10" s="29">
        <f>BBDD!N58/BBDD!M58-1</f>
        <v>-5.555555555555558E-2</v>
      </c>
    </row>
    <row r="11" spans="3:16" s="142" customFormat="1" ht="15.75" outlineLevel="2" thickBot="1">
      <c r="C11" s="90" t="s">
        <v>354</v>
      </c>
      <c r="D11" s="28">
        <f>Tabla32[2002]/Tabla32[2001]-1</f>
        <v>4.1237113402061931E-2</v>
      </c>
      <c r="E11" s="28">
        <f>Tabla32[2003]/Tabla32[2002]-1</f>
        <v>0.23762376237623761</v>
      </c>
      <c r="F11" s="28">
        <f>Tabla32[2004]/Tabla32[2003]-1</f>
        <v>0.3600000000000001</v>
      </c>
      <c r="G11" s="28">
        <f>Tabla32[2005]/Tabla32[2004]-1</f>
        <v>-0.3529411764705882</v>
      </c>
      <c r="H11" s="28">
        <f>Tabla32[2006]/Tabla32[2005]-1</f>
        <v>-0.18181818181818177</v>
      </c>
      <c r="I11" s="28">
        <f>Tabla32[2007]/Tabla32[2006]-1</f>
        <v>0.27777777777777768</v>
      </c>
      <c r="J11" s="28">
        <f>Tabla32[2008]/Tabla32[2007]-1</f>
        <v>-6.956521739130439E-2</v>
      </c>
      <c r="K11" s="193">
        <f>Tabla32[2009]/Tabla32[2008]-1</f>
        <v>0</v>
      </c>
      <c r="L11" s="193">
        <f>Tabla32[2010]/Tabla32[2009]-1</f>
        <v>2.8037383177569986E-2</v>
      </c>
      <c r="M11" s="193">
        <f>Tabla32[2011]/Tabla32[2010]-1</f>
        <v>4.5454545454545414E-2</v>
      </c>
      <c r="N11" s="193">
        <f>Tabla32[2012]/Tabla32[2011]-1</f>
        <v>4.3478260869565188E-2</v>
      </c>
    </row>
    <row r="12" spans="3:16" ht="15.75" thickTop="1">
      <c r="C12" s="150" t="s">
        <v>12</v>
      </c>
      <c r="D12" s="151">
        <f>Tabla1[[#Totals],[2002]]/Tabla1[[#Totals],[2001]]-1</f>
        <v>0.16617862371888736</v>
      </c>
      <c r="E12" s="151">
        <f>Tabla1[[#Totals],[2003]]/Tabla1[[#Totals],[2002]]-1</f>
        <v>0.23728813559322037</v>
      </c>
      <c r="F12" s="151">
        <f>Tabla1[[#Totals],[2004]]/Tabla1[[#Totals],[2003]]-1</f>
        <v>0.21258244545915783</v>
      </c>
      <c r="G12" s="151">
        <f>Tabla1[[#Totals],[2005]]/Tabla1[[#Totals],[2004]]-1</f>
        <v>0.11548117154811721</v>
      </c>
      <c r="H12" s="151">
        <f>Tabla1[[#Totals],[2006]]/Tabla1[[#Totals],[2005]]-1</f>
        <v>7.2768192048012104E-2</v>
      </c>
      <c r="I12" s="151">
        <f>Tabla1[[#Totals],[2007]]/Tabla1[[#Totals],[2006]]-1</f>
        <v>0.20209790209790213</v>
      </c>
      <c r="J12" s="151">
        <f>Tabla1[[#Totals],[2008]]/Tabla1[[#Totals],[2007]]-1</f>
        <v>5.2356020942408321E-2</v>
      </c>
      <c r="K12" s="151">
        <f>Tabla1[[#Totals],[2009]]/Tabla1[[#Totals],[2008]]-1</f>
        <v>0.16390270867882806</v>
      </c>
      <c r="L12" s="151">
        <f>Tabla1[[#Totals],[2010]]/Tabla1[[#Totals],[2009]]-1</f>
        <v>2.635953455236284E-2</v>
      </c>
      <c r="M12" s="151">
        <f>Tabla1[[#Totals],[2011]]/Tabla1[[#Totals],[2010]]-1</f>
        <v>0.15872281351226292</v>
      </c>
      <c r="N12" s="151">
        <f>Tabla1[[#Totals],[2012]]/Tabla1[[#Totals],[2011]]-1</f>
        <v>-8.5862619808306784E-3</v>
      </c>
    </row>
    <row r="13" spans="3:16">
      <c r="D13" s="4"/>
      <c r="E13" s="4"/>
      <c r="F13" s="4"/>
      <c r="G13" s="4"/>
    </row>
    <row r="14" spans="3:16">
      <c r="D14" s="4"/>
      <c r="E14" s="4"/>
      <c r="F14" s="4"/>
      <c r="G14" s="4"/>
    </row>
    <row r="15" spans="3:16">
      <c r="D15" s="4"/>
      <c r="E15" s="4"/>
      <c r="F15" s="4"/>
    </row>
    <row r="33" spans="3:15" ht="23.25">
      <c r="C33" s="2" t="s">
        <v>55</v>
      </c>
    </row>
    <row r="35" spans="3:15">
      <c r="C35" s="77" t="s">
        <v>51</v>
      </c>
      <c r="D35" s="1" t="s">
        <v>362</v>
      </c>
      <c r="E35" s="1" t="s">
        <v>363</v>
      </c>
      <c r="F35" s="1" t="s">
        <v>364</v>
      </c>
      <c r="G35" s="171" t="s">
        <v>356</v>
      </c>
      <c r="H35" s="171" t="s">
        <v>357</v>
      </c>
      <c r="I35" s="171" t="s">
        <v>358</v>
      </c>
      <c r="J35" s="171" t="s">
        <v>359</v>
      </c>
      <c r="K35" s="1" t="s">
        <v>8</v>
      </c>
      <c r="L35" s="1" t="s">
        <v>9</v>
      </c>
      <c r="M35" s="1" t="s">
        <v>10</v>
      </c>
      <c r="N35" s="1" t="s">
        <v>11</v>
      </c>
      <c r="O35" s="1" t="s">
        <v>397</v>
      </c>
    </row>
    <row r="36" spans="3:15">
      <c r="C36" s="77" t="s">
        <v>0</v>
      </c>
      <c r="D36" s="192">
        <f>BBDD!C10</f>
        <v>487</v>
      </c>
      <c r="E36" s="192">
        <f>BBDD!D10</f>
        <v>592</v>
      </c>
      <c r="F36" s="192">
        <f>BBDD!E10</f>
        <v>751</v>
      </c>
      <c r="G36" s="192">
        <f>BBDD!F10</f>
        <v>989</v>
      </c>
      <c r="H36" s="192">
        <f>BBDD!G10</f>
        <v>1170</v>
      </c>
      <c r="I36" s="192">
        <f>BBDD!H10</f>
        <v>1310</v>
      </c>
      <c r="J36" s="192">
        <f>BBDD!I10</f>
        <v>1602</v>
      </c>
      <c r="K36" s="192">
        <f>BBDD!J10</f>
        <v>1671</v>
      </c>
      <c r="L36" s="192">
        <f>BBDD!K10</f>
        <v>1948</v>
      </c>
      <c r="M36" s="192">
        <f>BBDD!L10</f>
        <v>2013</v>
      </c>
      <c r="N36" s="192">
        <f>BBDD!M10</f>
        <v>2315</v>
      </c>
      <c r="O36" s="192">
        <f>BBDD!N10</f>
        <v>2314</v>
      </c>
    </row>
    <row r="37" spans="3:15">
      <c r="C37" s="180" t="s">
        <v>13</v>
      </c>
      <c r="D37" s="167"/>
      <c r="E37" s="167"/>
      <c r="F37" s="167"/>
      <c r="G37" s="192">
        <v>0</v>
      </c>
      <c r="H37" s="3">
        <f>BBDD!G32</f>
        <v>0</v>
      </c>
      <c r="I37" s="3">
        <f>BBDD!H32</f>
        <v>0</v>
      </c>
      <c r="J37" s="3">
        <f>BBDD!I32</f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3:15">
      <c r="C38" s="77" t="s">
        <v>33</v>
      </c>
      <c r="D38" s="192">
        <f>BBDD!C74</f>
        <v>74</v>
      </c>
      <c r="E38" s="192">
        <f>BBDD!D74</f>
        <v>98</v>
      </c>
      <c r="F38" s="192">
        <f>BBDD!E74</f>
        <v>127</v>
      </c>
      <c r="G38" s="192">
        <f>BBDD!F74</f>
        <v>93</v>
      </c>
      <c r="H38" s="3">
        <f>BBDD!G74</f>
        <v>132</v>
      </c>
      <c r="I38" s="3">
        <f>BBDD!H74</f>
        <v>115</v>
      </c>
      <c r="J38" s="3">
        <f>BBDD!I74</f>
        <v>142</v>
      </c>
      <c r="K38" s="3">
        <f>BBDD!J74</f>
        <v>164</v>
      </c>
      <c r="L38" s="3">
        <f>BBDD!K74</f>
        <v>155</v>
      </c>
      <c r="M38" s="3">
        <f>BBDD!L74</f>
        <v>202</v>
      </c>
      <c r="N38" s="3">
        <f>BBDD!M74</f>
        <v>235</v>
      </c>
      <c r="O38" s="3">
        <f>BBDD!N74</f>
        <v>241</v>
      </c>
    </row>
    <row r="39" spans="3:15">
      <c r="C39" s="77" t="s">
        <v>36</v>
      </c>
      <c r="D39" s="192">
        <f>BBDD!C39</f>
        <v>149</v>
      </c>
      <c r="E39" s="192">
        <f>BBDD!D39</f>
        <v>179</v>
      </c>
      <c r="F39" s="192">
        <f>BBDD!E39</f>
        <v>203</v>
      </c>
      <c r="G39" s="192">
        <f>BBDD!F39</f>
        <v>235</v>
      </c>
      <c r="H39" s="3">
        <f>BBDD!G39</f>
        <v>225</v>
      </c>
      <c r="I39" s="3">
        <f>BBDD!H39</f>
        <v>245</v>
      </c>
      <c r="J39" s="3">
        <f>BBDD!I39</f>
        <v>254</v>
      </c>
      <c r="K39" s="3">
        <f>BBDD!J39</f>
        <v>285</v>
      </c>
      <c r="L39" s="3">
        <f>BBDD!K39</f>
        <v>380</v>
      </c>
      <c r="M39" s="3">
        <f>BBDD!L39</f>
        <v>461</v>
      </c>
      <c r="N39" s="3">
        <f>BBDD!M39</f>
        <v>511</v>
      </c>
      <c r="O39" s="3">
        <f>BBDD!N39</f>
        <v>542</v>
      </c>
    </row>
    <row r="40" spans="3:15">
      <c r="C40" s="77" t="s">
        <v>47</v>
      </c>
      <c r="D40" s="192">
        <f>BBDD!C49</f>
        <v>550</v>
      </c>
      <c r="E40" s="192">
        <f>BBDD!D49</f>
        <v>610</v>
      </c>
      <c r="F40" s="192">
        <f>BBDD!E49</f>
        <v>752</v>
      </c>
      <c r="G40" s="192">
        <f>BBDD!F49</f>
        <v>891</v>
      </c>
      <c r="H40" s="3">
        <f>BBDD!G49</f>
        <v>1018</v>
      </c>
      <c r="I40" s="3">
        <f>BBDD!H49</f>
        <v>1079</v>
      </c>
      <c r="J40" s="3">
        <f>BBDD!I49</f>
        <v>1299</v>
      </c>
      <c r="K40" s="3">
        <f>BBDD!J49</f>
        <v>1373</v>
      </c>
      <c r="L40" s="3">
        <f>BBDD!K49</f>
        <v>1589</v>
      </c>
      <c r="M40" s="3">
        <f>BBDD!L49</f>
        <v>1481</v>
      </c>
      <c r="N40" s="3">
        <f>BBDD!M49</f>
        <v>1760</v>
      </c>
      <c r="O40" s="3">
        <f>BBDD!N49</f>
        <v>1680</v>
      </c>
    </row>
    <row r="41" spans="3:15">
      <c r="C41" s="77" t="s">
        <v>42</v>
      </c>
      <c r="D41" s="192">
        <f>BBDD!C58</f>
        <v>9</v>
      </c>
      <c r="E41" s="192">
        <f>BBDD!D58</f>
        <v>13</v>
      </c>
      <c r="F41" s="192">
        <f>BBDD!E58</f>
        <v>13</v>
      </c>
      <c r="G41" s="192">
        <f>BBDD!F58</f>
        <v>12</v>
      </c>
      <c r="H41" s="3">
        <f>BBDD!G58</f>
        <v>11</v>
      </c>
      <c r="I41" s="3">
        <f>BBDD!H58</f>
        <v>21</v>
      </c>
      <c r="J41" s="3">
        <f>BBDD!I58</f>
        <v>26</v>
      </c>
      <c r="K41" s="3">
        <f>BBDD!J58</f>
        <v>18</v>
      </c>
      <c r="L41" s="3">
        <f>BBDD!K58</f>
        <v>32</v>
      </c>
      <c r="M41" s="3">
        <f>BBDD!L58</f>
        <v>55</v>
      </c>
      <c r="N41" s="3">
        <f>BBDD!M58</f>
        <v>72</v>
      </c>
      <c r="O41" s="3">
        <f>BBDD!N58</f>
        <v>68</v>
      </c>
    </row>
    <row r="42" spans="3:15">
      <c r="C42" s="178" t="s">
        <v>354</v>
      </c>
      <c r="D42" s="192">
        <f>Tabla32[2001]</f>
        <v>97</v>
      </c>
      <c r="E42" s="192">
        <f>Tabla32[2002]</f>
        <v>101</v>
      </c>
      <c r="F42" s="192">
        <f>Tabla32[2003]</f>
        <v>125</v>
      </c>
      <c r="G42" s="192">
        <f>Tabla32[2004]</f>
        <v>170</v>
      </c>
      <c r="H42" s="3">
        <f>Tabla32[2005]</f>
        <v>110</v>
      </c>
      <c r="I42" s="3">
        <f>Tabla32[2006]</f>
        <v>90</v>
      </c>
      <c r="J42" s="3">
        <f>Tabla32[2007]</f>
        <v>115</v>
      </c>
      <c r="K42" s="3">
        <f>Tabla32[2008]</f>
        <v>107</v>
      </c>
      <c r="L42" s="3">
        <f>Tabla32[2009]</f>
        <v>107</v>
      </c>
      <c r="M42" s="3">
        <f>Tabla32[2010]</f>
        <v>110</v>
      </c>
      <c r="N42" s="3">
        <f>Tabla32[2011]</f>
        <v>115</v>
      </c>
      <c r="O42" s="3">
        <f>Tabla32[2012]</f>
        <v>120</v>
      </c>
    </row>
    <row r="43" spans="3:15">
      <c r="C43" s="177" t="s">
        <v>12</v>
      </c>
      <c r="D43">
        <f>SUM(Tabla1[2001])</f>
        <v>1366</v>
      </c>
      <c r="E43" s="170">
        <f>SUM(Tabla1[2002])</f>
        <v>1593</v>
      </c>
      <c r="F43" s="170">
        <f>SUM(Tabla1[2003])</f>
        <v>1971</v>
      </c>
      <c r="G43" s="170">
        <f>SUM(Tabla1[2004])</f>
        <v>2390</v>
      </c>
      <c r="H43" s="170">
        <f>SUM(Tabla1[2005])</f>
        <v>2666</v>
      </c>
      <c r="I43" s="170">
        <f>SUM(Tabla1[2006])</f>
        <v>2860</v>
      </c>
      <c r="J43" s="170">
        <f>SUM(Tabla1[2007])</f>
        <v>3438</v>
      </c>
      <c r="K43" s="170">
        <f>SUM(Tabla1[2008])</f>
        <v>3618</v>
      </c>
      <c r="L43" s="170">
        <f>SUM(Tabla1[2009])</f>
        <v>4211</v>
      </c>
      <c r="M43" s="170">
        <f>SUM(Tabla1[2010])</f>
        <v>4322</v>
      </c>
      <c r="N43" s="170">
        <f>SUM(Tabla1[2011])</f>
        <v>5008</v>
      </c>
      <c r="O43" s="218">
        <f>SUM(Tabla1[2012])</f>
        <v>4965</v>
      </c>
    </row>
    <row r="46" spans="3:15" ht="23.25">
      <c r="C46" s="2" t="s">
        <v>35</v>
      </c>
    </row>
    <row r="48" spans="3:15">
      <c r="C48" t="s">
        <v>54</v>
      </c>
      <c r="D48" s="1" t="s">
        <v>362</v>
      </c>
      <c r="E48" s="1" t="s">
        <v>363</v>
      </c>
      <c r="F48" s="1" t="s">
        <v>364</v>
      </c>
      <c r="G48" s="1" t="s">
        <v>356</v>
      </c>
      <c r="H48" s="1" t="s">
        <v>357</v>
      </c>
      <c r="I48" s="1" t="s">
        <v>358</v>
      </c>
      <c r="J48" s="1" t="s">
        <v>359</v>
      </c>
      <c r="K48" s="1" t="s">
        <v>8</v>
      </c>
      <c r="L48" s="1" t="s">
        <v>9</v>
      </c>
      <c r="M48" s="1" t="s">
        <v>10</v>
      </c>
      <c r="N48" s="1" t="s">
        <v>11</v>
      </c>
      <c r="O48" s="1" t="s">
        <v>397</v>
      </c>
    </row>
    <row r="49" spans="3:15">
      <c r="C49" t="s">
        <v>52</v>
      </c>
      <c r="D49" s="184">
        <f>Presupuesto!C7</f>
        <v>1677787</v>
      </c>
      <c r="E49" s="184">
        <f>Presupuesto!D7</f>
        <v>1332074</v>
      </c>
      <c r="F49" s="184">
        <f>Presupuesto!E7</f>
        <v>1434238</v>
      </c>
      <c r="G49" s="184">
        <f>Presupuesto!F7</f>
        <v>1427300</v>
      </c>
      <c r="H49" s="184">
        <f>Presupuesto!G7</f>
        <v>1756683</v>
      </c>
      <c r="I49" s="184">
        <f>Presupuesto!H7</f>
        <v>1572948</v>
      </c>
      <c r="J49" s="184">
        <f>Presupuesto!I7</f>
        <v>1886727.83</v>
      </c>
      <c r="K49" s="184">
        <f>Presupuesto!J7</f>
        <v>1914811</v>
      </c>
      <c r="L49" s="184">
        <f>Presupuesto!K7</f>
        <v>1903030</v>
      </c>
      <c r="M49" s="184">
        <f>Presupuesto!L7</f>
        <v>1758033.4</v>
      </c>
      <c r="N49" s="184">
        <f>Presupuesto!M7</f>
        <v>1662074</v>
      </c>
      <c r="O49" s="223">
        <f>Presupuesto!N7</f>
        <v>1671583</v>
      </c>
    </row>
    <row r="50" spans="3:15" s="143" customFormat="1">
      <c r="C50" t="s">
        <v>53</v>
      </c>
      <c r="D50" s="78">
        <f t="shared" ref="D50:F50" si="0">D49/1000</f>
        <v>1677.787</v>
      </c>
      <c r="E50" s="78">
        <f t="shared" si="0"/>
        <v>1332.0740000000001</v>
      </c>
      <c r="F50" s="78">
        <f t="shared" si="0"/>
        <v>1434.2380000000001</v>
      </c>
      <c r="G50" s="78">
        <f t="shared" ref="G50:J50" si="1">G49/1000</f>
        <v>1427.3</v>
      </c>
      <c r="H50" s="185">
        <f t="shared" si="1"/>
        <v>1756.683</v>
      </c>
      <c r="I50" s="185">
        <f t="shared" si="1"/>
        <v>1572.9480000000001</v>
      </c>
      <c r="J50" s="185">
        <f t="shared" si="1"/>
        <v>1886.72783</v>
      </c>
      <c r="K50" s="185">
        <f>K49/1000</f>
        <v>1914.8109999999999</v>
      </c>
      <c r="L50" s="185">
        <f>L49/1000</f>
        <v>1903.03</v>
      </c>
      <c r="M50" s="185">
        <f>M49/1000</f>
        <v>1758.0333999999998</v>
      </c>
      <c r="N50" s="185">
        <f>N49/1000</f>
        <v>1662.0740000000001</v>
      </c>
      <c r="O50" s="224">
        <f>O49/1000</f>
        <v>1671.5830000000001</v>
      </c>
    </row>
    <row r="51" spans="3:15" s="143" customFormat="1">
      <c r="D51" s="78"/>
      <c r="E51" s="78"/>
      <c r="F51" s="78"/>
      <c r="G51" s="78"/>
      <c r="H51" s="78"/>
      <c r="I51" s="78"/>
      <c r="J51" s="78"/>
      <c r="K51" s="78"/>
    </row>
    <row r="52" spans="3:15" s="143" customFormat="1">
      <c r="D52" s="78"/>
      <c r="E52" s="78"/>
      <c r="F52" s="78"/>
      <c r="G52" s="78"/>
      <c r="H52" s="78"/>
      <c r="I52" s="78"/>
      <c r="J52" s="78"/>
      <c r="K52" s="78"/>
    </row>
    <row r="53" spans="3:15" s="143" customFormat="1" ht="23.25">
      <c r="C53" s="2" t="s">
        <v>49</v>
      </c>
      <c r="G53" s="78"/>
      <c r="H53" s="78"/>
      <c r="I53" s="78"/>
      <c r="J53" s="78"/>
      <c r="K53" s="78"/>
    </row>
    <row r="54" spans="3:15" s="143" customFormat="1">
      <c r="G54" s="78"/>
      <c r="H54" s="78"/>
      <c r="I54" s="78"/>
      <c r="J54" s="78"/>
      <c r="K54" s="78"/>
      <c r="L54" s="78"/>
      <c r="M54" s="78"/>
      <c r="N54" s="78"/>
      <c r="O54" s="78"/>
    </row>
    <row r="55" spans="3:15" s="143" customFormat="1">
      <c r="C55" s="7" t="s">
        <v>34</v>
      </c>
      <c r="D55" s="8">
        <v>2002</v>
      </c>
      <c r="E55" s="8">
        <v>2003</v>
      </c>
      <c r="F55" s="8">
        <v>2004</v>
      </c>
      <c r="G55" s="8">
        <v>2005</v>
      </c>
      <c r="H55" s="8">
        <v>2006</v>
      </c>
      <c r="I55" s="8">
        <v>2007</v>
      </c>
      <c r="J55" s="8">
        <v>2008</v>
      </c>
      <c r="K55" s="8" t="s">
        <v>9</v>
      </c>
      <c r="L55" s="8" t="s">
        <v>10</v>
      </c>
      <c r="M55" s="9" t="s">
        <v>11</v>
      </c>
      <c r="N55" s="9" t="s">
        <v>397</v>
      </c>
    </row>
    <row r="56" spans="3:15" s="143" customFormat="1">
      <c r="C56" s="10" t="s">
        <v>2</v>
      </c>
      <c r="D56" s="11">
        <f>Presupuesto!D5/Presupuesto!C5-1</f>
        <v>-0.20630070601410466</v>
      </c>
      <c r="E56" s="11">
        <f>Presupuesto!E5/Presupuesto!D5-1</f>
        <v>-4.654546955202532E-2</v>
      </c>
      <c r="F56" s="11">
        <f>Presupuesto!F5/Presupuesto!E5-1</f>
        <v>-0.15561773147217794</v>
      </c>
      <c r="G56" s="11">
        <f>Presupuesto!G5/Presupuesto!F5-1</f>
        <v>0.55048885775343903</v>
      </c>
      <c r="H56" s="11">
        <f>Presupuesto!H5/Presupuesto!G5-1</f>
        <v>-0.41778737050409831</v>
      </c>
      <c r="I56" s="11">
        <f>Presupuesto!I5/Presupuesto!H5-1</f>
        <v>1.2960006597741991E-2</v>
      </c>
      <c r="J56" s="11">
        <f>Presupuesto!J5/Presupuesto!I5-1</f>
        <v>-0.11306876395152099</v>
      </c>
      <c r="K56" s="11">
        <f>Presupuesto!K5/Presupuesto!J5-1</f>
        <v>-0.18323506661971534</v>
      </c>
      <c r="L56" s="11">
        <f>Presupuesto!L5/Presupuesto!K5-1</f>
        <v>-0.20456458254645316</v>
      </c>
      <c r="M56" s="11">
        <f>Presupuesto!M5/Presupuesto!L5-1</f>
        <v>-0.17586954056913995</v>
      </c>
      <c r="N56" s="11">
        <f>Presupuesto!N5/Presupuesto!M5-1</f>
        <v>-0.15252993965694117</v>
      </c>
    </row>
    <row r="57" spans="3:15" ht="15.75" thickBot="1">
      <c r="C57" s="172" t="s">
        <v>50</v>
      </c>
      <c r="D57" s="186" t="s">
        <v>365</v>
      </c>
      <c r="E57" s="11">
        <f>Presupuesto!E6/Presupuesto!D6-1</f>
        <v>0.47571404030056819</v>
      </c>
      <c r="F57" s="11">
        <f>Presupuesto!F6/Presupuesto!E6-1</f>
        <v>0.3105763862091564</v>
      </c>
      <c r="G57" s="11">
        <f>Presupuesto!G6/Presupuesto!F6-1</f>
        <v>-0.20012632804828101</v>
      </c>
      <c r="H57" s="11">
        <f>Presupuesto!H6/Presupuesto!G6-1</f>
        <v>0.71363793401278297</v>
      </c>
      <c r="I57" s="11">
        <f>Presupuesto!I6/Presupuesto!H6-1</f>
        <v>0.36504696382219626</v>
      </c>
      <c r="J57" s="11">
        <f>Presupuesto!J6/Presupuesto!I6-1</f>
        <v>9.9163512806649701E-2</v>
      </c>
      <c r="K57" s="11">
        <f>Presupuesto!K6/Presupuesto!J6-1</f>
        <v>8.7964981008451515E-2</v>
      </c>
      <c r="L57" s="11">
        <f>Presupuesto!L6/Presupuesto!K6-1</f>
        <v>-2.4971531491793875E-2</v>
      </c>
      <c r="M57" s="11">
        <f>Presupuesto!M6/Presupuesto!L6-1</f>
        <v>-1.5103480766913147E-2</v>
      </c>
      <c r="N57" s="11">
        <f>Presupuesto!N6/Presupuesto!M6-1</f>
        <v>4.8825094256569335E-2</v>
      </c>
    </row>
    <row r="58" spans="3:15" s="143" customFormat="1" ht="15.75" thickTop="1">
      <c r="C58" s="12" t="s">
        <v>12</v>
      </c>
      <c r="D58" s="173">
        <f>Presupuesto!D7/Presupuesto!C7-1</f>
        <v>-0.20605297335120609</v>
      </c>
      <c r="E58" s="173">
        <f>Presupuesto!E7/Presupuesto!D7-1</f>
        <v>7.6695438841986263E-2</v>
      </c>
      <c r="F58" s="173">
        <f>Presupuesto!F7/Presupuesto!E7-1</f>
        <v>-4.8374119218707046E-3</v>
      </c>
      <c r="G58" s="173">
        <f>Presupuesto!G7/Presupuesto!F7-1</f>
        <v>0.23077348840468015</v>
      </c>
      <c r="H58" s="173">
        <f>Presupuesto!H7/Presupuesto!G7-1</f>
        <v>-0.10459200663978652</v>
      </c>
      <c r="I58" s="173">
        <f>Presupuesto!I7/Presupuesto!H7-1</f>
        <v>0.19948518959304451</v>
      </c>
      <c r="J58" s="173">
        <f>Presupuesto!J7/Presupuesto!I7-1</f>
        <v>1.4884589898692457E-2</v>
      </c>
      <c r="K58" s="173">
        <f>Presupuesto!K7/Presupuesto!J7-1</f>
        <v>-6.1525654490182102E-3</v>
      </c>
      <c r="L58" s="173">
        <f>Presupuesto!L7/Presupuesto!K7-1</f>
        <v>-7.6192493024282326E-2</v>
      </c>
      <c r="M58" s="173">
        <f>Presupuesto!M7/Presupuesto!L7-1</f>
        <v>-5.4583377084872153E-2</v>
      </c>
      <c r="N58" s="173">
        <f>Presupuesto!N7/Presupuesto!M7-1</f>
        <v>5.7211652429434157E-3</v>
      </c>
    </row>
    <row r="59" spans="3:15">
      <c r="C59" s="168"/>
      <c r="D59" s="169"/>
      <c r="E59" s="169"/>
      <c r="F59" s="169"/>
      <c r="G59" s="143"/>
      <c r="H59" s="143"/>
      <c r="I59" s="143"/>
      <c r="J59" s="143"/>
      <c r="K59" s="143"/>
    </row>
    <row r="60" spans="3:15" ht="23.25">
      <c r="C60" s="2" t="s">
        <v>371</v>
      </c>
    </row>
    <row r="62" spans="3:15">
      <c r="C62" s="79" t="s">
        <v>57</v>
      </c>
      <c r="D62" s="187">
        <v>2001</v>
      </c>
      <c r="E62" s="187">
        <v>2002</v>
      </c>
      <c r="F62" s="187">
        <v>2003</v>
      </c>
      <c r="G62" s="80">
        <v>2004</v>
      </c>
      <c r="H62" s="80">
        <v>2005</v>
      </c>
      <c r="I62" s="80">
        <v>2006</v>
      </c>
      <c r="J62" s="80">
        <v>2007</v>
      </c>
      <c r="K62" s="80" t="s">
        <v>8</v>
      </c>
      <c r="L62" s="80" t="s">
        <v>9</v>
      </c>
      <c r="M62" s="81" t="s">
        <v>10</v>
      </c>
      <c r="N62" s="81" t="s">
        <v>11</v>
      </c>
      <c r="O62" s="81" t="s">
        <v>397</v>
      </c>
    </row>
    <row r="63" spans="3:15">
      <c r="C63" s="58" t="s">
        <v>58</v>
      </c>
      <c r="D63" s="82">
        <v>2210</v>
      </c>
      <c r="E63" s="82">
        <v>2329</v>
      </c>
      <c r="F63" s="82">
        <v>1701</v>
      </c>
      <c r="G63" s="82">
        <v>1679</v>
      </c>
      <c r="H63" s="82">
        <v>1916</v>
      </c>
      <c r="I63" s="82">
        <v>2090</v>
      </c>
      <c r="J63" s="82">
        <v>2122</v>
      </c>
      <c r="K63" s="82">
        <v>2106</v>
      </c>
      <c r="L63" s="82">
        <v>2117</v>
      </c>
      <c r="M63" s="83">
        <v>2090</v>
      </c>
      <c r="N63" s="112">
        <v>2058</v>
      </c>
      <c r="O63" s="112">
        <v>2032</v>
      </c>
    </row>
    <row r="64" spans="3:15" ht="15.75" thickBot="1">
      <c r="C64" s="84" t="s">
        <v>59</v>
      </c>
      <c r="D64" s="188"/>
      <c r="E64" s="188"/>
      <c r="F64" s="78">
        <v>700</v>
      </c>
      <c r="G64" s="78">
        <v>818</v>
      </c>
      <c r="H64" s="78">
        <v>684</v>
      </c>
      <c r="I64" s="78">
        <v>555</v>
      </c>
      <c r="J64" s="78">
        <v>637</v>
      </c>
      <c r="K64" s="78">
        <v>672</v>
      </c>
      <c r="L64" s="78">
        <v>738</v>
      </c>
      <c r="M64" s="85">
        <v>696</v>
      </c>
      <c r="N64" s="113">
        <v>712</v>
      </c>
      <c r="O64" s="113">
        <v>687</v>
      </c>
    </row>
    <row r="65" spans="3:15" ht="15.75" thickTop="1">
      <c r="C65" s="86" t="s">
        <v>12</v>
      </c>
      <c r="D65" s="174">
        <f t="shared" ref="D65:F65" si="2">SUM(D63:D64)</f>
        <v>2210</v>
      </c>
      <c r="E65" s="174">
        <f t="shared" si="2"/>
        <v>2329</v>
      </c>
      <c r="F65" s="174">
        <f t="shared" si="2"/>
        <v>2401</v>
      </c>
      <c r="G65" s="174">
        <f>SUM(G63:G64)</f>
        <v>2497</v>
      </c>
      <c r="H65" s="174">
        <f t="shared" ref="H65:N65" si="3">SUM(H63:H64)</f>
        <v>2600</v>
      </c>
      <c r="I65" s="174">
        <f t="shared" si="3"/>
        <v>2645</v>
      </c>
      <c r="J65" s="174">
        <f t="shared" si="3"/>
        <v>2759</v>
      </c>
      <c r="K65" s="174">
        <f t="shared" si="3"/>
        <v>2778</v>
      </c>
      <c r="L65" s="174">
        <f t="shared" si="3"/>
        <v>2855</v>
      </c>
      <c r="M65" s="174">
        <f t="shared" si="3"/>
        <v>2786</v>
      </c>
      <c r="N65" s="174">
        <f t="shared" si="3"/>
        <v>2770</v>
      </c>
      <c r="O65" s="174">
        <f t="shared" ref="O65" si="4">SUM(O63:O64)</f>
        <v>2719</v>
      </c>
    </row>
    <row r="67" spans="3:15" s="206" customFormat="1" ht="23.25">
      <c r="C67" s="2" t="s">
        <v>370</v>
      </c>
    </row>
    <row r="68" spans="3:15" s="206" customFormat="1"/>
    <row r="69" spans="3:15" s="206" customFormat="1">
      <c r="C69" s="79" t="s">
        <v>57</v>
      </c>
      <c r="D69" s="187">
        <v>2001</v>
      </c>
      <c r="E69" s="187">
        <v>2002</v>
      </c>
      <c r="F69" s="187">
        <v>2003</v>
      </c>
      <c r="G69" s="80">
        <v>2004</v>
      </c>
      <c r="H69" s="80">
        <v>2005</v>
      </c>
      <c r="I69" s="80">
        <v>2006</v>
      </c>
      <c r="J69" s="80">
        <v>2007</v>
      </c>
      <c r="K69" s="80" t="s">
        <v>8</v>
      </c>
      <c r="L69" s="80" t="s">
        <v>9</v>
      </c>
      <c r="M69" s="81" t="s">
        <v>10</v>
      </c>
      <c r="N69" s="81">
        <v>2011</v>
      </c>
      <c r="O69" s="81">
        <v>2012</v>
      </c>
    </row>
    <row r="70" spans="3:15" s="206" customFormat="1">
      <c r="C70" s="58" t="s">
        <v>58</v>
      </c>
      <c r="D70" s="82">
        <v>1318.7608695652175</v>
      </c>
      <c r="E70" s="82">
        <v>1380.4468085106382</v>
      </c>
      <c r="F70" s="82">
        <v>1341.8085106382978</v>
      </c>
      <c r="G70" s="82">
        <v>1326.9791666666667</v>
      </c>
      <c r="H70" s="82">
        <v>1374.8541666666667</v>
      </c>
      <c r="I70" s="82">
        <v>1429.6666666666667</v>
      </c>
      <c r="J70" s="82">
        <v>1483.5833333333333</v>
      </c>
      <c r="K70" s="82">
        <v>1470.4583333333333</v>
      </c>
      <c r="L70" s="82">
        <v>1465.4375</v>
      </c>
      <c r="M70" s="83">
        <v>1443.2653061224489</v>
      </c>
      <c r="N70" s="112">
        <v>1480</v>
      </c>
      <c r="O70" s="112">
        <v>1454</v>
      </c>
    </row>
    <row r="71" spans="3:15" s="206" customFormat="1" ht="15.75" thickBot="1">
      <c r="C71" s="84" t="s">
        <v>59</v>
      </c>
      <c r="D71" s="78">
        <v>579.79069767441865</v>
      </c>
      <c r="E71" s="78">
        <v>583.77272727272725</v>
      </c>
      <c r="F71" s="78">
        <v>633.8478260869565</v>
      </c>
      <c r="G71" s="78">
        <v>658</v>
      </c>
      <c r="H71" s="78">
        <v>681.85106382978722</v>
      </c>
      <c r="I71" s="78">
        <v>706.34042553191489</v>
      </c>
      <c r="J71" s="78">
        <v>725.68085106382978</v>
      </c>
      <c r="K71" s="78">
        <v>814.61702127659578</v>
      </c>
      <c r="L71" s="78">
        <v>848.17021276595744</v>
      </c>
      <c r="M71" s="85">
        <v>878.04166666666663</v>
      </c>
      <c r="N71" s="113">
        <v>912</v>
      </c>
      <c r="O71" s="113">
        <v>869</v>
      </c>
    </row>
    <row r="72" spans="3:15" s="206" customFormat="1" ht="15.75" thickTop="1">
      <c r="C72" s="86" t="s">
        <v>12</v>
      </c>
      <c r="D72" s="174">
        <f t="shared" ref="D72:F72" si="5">SUM(D70:D71)</f>
        <v>1898.5515672396361</v>
      </c>
      <c r="E72" s="174">
        <f t="shared" si="5"/>
        <v>1964.2195357833655</v>
      </c>
      <c r="F72" s="174">
        <f t="shared" si="5"/>
        <v>1975.6563367252543</v>
      </c>
      <c r="G72" s="174">
        <f>SUM(G70:G71)</f>
        <v>1984.9791666666667</v>
      </c>
      <c r="H72" s="174">
        <f t="shared" ref="H72:N72" si="6">SUM(H70:H71)</f>
        <v>2056.7052304964541</v>
      </c>
      <c r="I72" s="174">
        <f t="shared" si="6"/>
        <v>2136.0070921985816</v>
      </c>
      <c r="J72" s="174">
        <f t="shared" si="6"/>
        <v>2209.2641843971633</v>
      </c>
      <c r="K72" s="174">
        <f t="shared" si="6"/>
        <v>2285.075354609929</v>
      </c>
      <c r="L72" s="174">
        <f t="shared" si="6"/>
        <v>2313.6077127659573</v>
      </c>
      <c r="M72" s="174">
        <f t="shared" si="6"/>
        <v>2321.3069727891157</v>
      </c>
      <c r="N72" s="174">
        <f t="shared" si="6"/>
        <v>2392</v>
      </c>
      <c r="O72" s="174">
        <f t="shared" ref="O72" si="7">SUM(O70:O71)</f>
        <v>2323</v>
      </c>
    </row>
    <row r="74" spans="3:15" ht="23.25">
      <c r="C74" s="2" t="s">
        <v>174</v>
      </c>
      <c r="D74" s="153"/>
      <c r="E74" s="153"/>
    </row>
    <row r="75" spans="3:15" ht="15.75" thickBot="1">
      <c r="C75" s="153"/>
      <c r="D75" s="153"/>
      <c r="E75" s="153"/>
      <c r="H75" s="143"/>
      <c r="I75" s="143"/>
      <c r="J75" s="143"/>
      <c r="K75" s="143"/>
    </row>
    <row r="76" spans="3:15" ht="15.75" thickTop="1">
      <c r="C76" s="101"/>
      <c r="D76" s="252">
        <v>2008</v>
      </c>
      <c r="E76" s="254"/>
      <c r="F76" s="252">
        <v>2009</v>
      </c>
      <c r="G76" s="253"/>
      <c r="H76" s="252">
        <v>2010</v>
      </c>
      <c r="I76" s="251"/>
      <c r="J76" s="250">
        <v>2011</v>
      </c>
      <c r="K76" s="251"/>
      <c r="L76" s="250">
        <v>2012</v>
      </c>
      <c r="M76" s="251"/>
    </row>
    <row r="77" spans="3:15">
      <c r="C77" s="102" t="s">
        <v>172</v>
      </c>
      <c r="D77" s="104">
        <f>'2008 NREF'!G23</f>
        <v>21.223628730049938</v>
      </c>
      <c r="E77" s="104">
        <f>'2008 NREF'!H23</f>
        <v>29.251618794702537</v>
      </c>
      <c r="F77" s="104">
        <f>'2009 NREF'!G23</f>
        <v>20.886821582711903</v>
      </c>
      <c r="G77" s="104">
        <f>'2009 NREF'!H23</f>
        <v>28.863178417288097</v>
      </c>
      <c r="H77" s="105">
        <f>'2010 NREF'!G23</f>
        <v>25.925991650044129</v>
      </c>
      <c r="I77" s="105">
        <f>'2010 NREF'!H23</f>
        <v>33.892190168137688</v>
      </c>
      <c r="J77" s="105">
        <f>'2011'!I23</f>
        <v>16.950089541956615</v>
      </c>
      <c r="K77" s="105">
        <f>'2011'!J23</f>
        <v>28.249910458043388</v>
      </c>
      <c r="L77" s="105">
        <f>'2012'!I23</f>
        <v>24.237908505441851</v>
      </c>
      <c r="M77" s="105">
        <f>'2012'!J23</f>
        <v>32.962091494558152</v>
      </c>
    </row>
    <row r="78" spans="3:15" ht="15.75" thickBot="1">
      <c r="C78" s="103" t="s">
        <v>173</v>
      </c>
      <c r="D78" s="106">
        <f>'2008'!N23</f>
        <v>0.50593610758928942</v>
      </c>
      <c r="E78" s="107">
        <f>'2008'!O23</f>
        <v>0.57866860808338738</v>
      </c>
      <c r="F78" s="106">
        <f>'2009'!N23</f>
        <v>0.51772323790404151</v>
      </c>
      <c r="G78" s="107">
        <f>'2009'!O23</f>
        <v>0.58694258807325994</v>
      </c>
      <c r="H78" s="108">
        <f>'2010'!N23</f>
        <v>0.61652122505873186</v>
      </c>
      <c r="I78" s="109">
        <f>'2010'!O23</f>
        <v>0.68720370330803038</v>
      </c>
      <c r="J78" s="109">
        <f>'2011'!N23</f>
        <v>0.60549690224631136</v>
      </c>
      <c r="K78" s="109">
        <f>'2011'!O23</f>
        <v>0.67768893846165323</v>
      </c>
      <c r="L78" s="109">
        <f>'2012'!N23</f>
        <v>0.5273961005782285</v>
      </c>
      <c r="M78" s="109">
        <f>'2012'!O23</f>
        <v>0.59381602063389261</v>
      </c>
    </row>
    <row r="79" spans="3:15" ht="15.75" thickTop="1"/>
    <row r="80" spans="3:15" ht="23.25">
      <c r="C80" s="2" t="s">
        <v>372</v>
      </c>
    </row>
    <row r="82" spans="3:15">
      <c r="C82" s="111" t="s">
        <v>309</v>
      </c>
      <c r="D82" s="175" t="s">
        <v>362</v>
      </c>
      <c r="E82" s="175" t="s">
        <v>363</v>
      </c>
      <c r="F82" s="175" t="s">
        <v>364</v>
      </c>
      <c r="G82" s="175" t="s">
        <v>356</v>
      </c>
      <c r="H82" s="175" t="s">
        <v>357</v>
      </c>
      <c r="I82" s="175" t="s">
        <v>358</v>
      </c>
      <c r="J82" s="175" t="s">
        <v>359</v>
      </c>
      <c r="K82" s="175" t="s">
        <v>8</v>
      </c>
      <c r="L82" s="175" t="s">
        <v>9</v>
      </c>
      <c r="M82" s="175" t="s">
        <v>10</v>
      </c>
      <c r="N82" s="175" t="s">
        <v>11</v>
      </c>
      <c r="O82" s="175" t="s">
        <v>397</v>
      </c>
    </row>
    <row r="83" spans="3:15">
      <c r="C83" s="111" t="s">
        <v>374</v>
      </c>
      <c r="D83" s="114">
        <v>305920</v>
      </c>
      <c r="E83" s="114">
        <v>334000</v>
      </c>
      <c r="F83" s="114">
        <v>366269</v>
      </c>
      <c r="G83" s="114">
        <v>397485</v>
      </c>
      <c r="H83" s="114">
        <v>403330</v>
      </c>
      <c r="I83" s="114">
        <v>436940</v>
      </c>
      <c r="J83" s="114">
        <v>463595</v>
      </c>
      <c r="K83" s="114">
        <v>494082</v>
      </c>
      <c r="L83" s="114">
        <v>524743</v>
      </c>
      <c r="M83" s="114">
        <v>555981</v>
      </c>
      <c r="N83" s="114">
        <v>564507</v>
      </c>
      <c r="O83" s="114">
        <v>558311</v>
      </c>
    </row>
    <row r="84" spans="3:15">
      <c r="C84" s="111" t="s">
        <v>382</v>
      </c>
      <c r="D84" s="114">
        <v>1140</v>
      </c>
      <c r="E84" s="114">
        <v>2439</v>
      </c>
      <c r="F84" s="114">
        <v>1940</v>
      </c>
      <c r="G84" s="114">
        <v>2794</v>
      </c>
      <c r="H84" s="114">
        <v>2634</v>
      </c>
      <c r="I84" s="114">
        <v>3258</v>
      </c>
      <c r="J84" s="114">
        <v>624</v>
      </c>
      <c r="K84" s="114">
        <v>2819</v>
      </c>
      <c r="L84" s="114">
        <v>2870</v>
      </c>
      <c r="M84" s="114">
        <v>2960</v>
      </c>
      <c r="N84" s="114">
        <v>3040</v>
      </c>
      <c r="O84" s="114">
        <v>3576</v>
      </c>
    </row>
    <row r="85" spans="3:15">
      <c r="C85" s="111" t="s">
        <v>383</v>
      </c>
      <c r="D85" s="114">
        <v>0</v>
      </c>
      <c r="E85" s="114">
        <v>0</v>
      </c>
      <c r="F85" s="114">
        <v>23200</v>
      </c>
      <c r="G85" s="114">
        <v>24200</v>
      </c>
      <c r="H85" s="114">
        <v>28041</v>
      </c>
      <c r="I85" s="114">
        <v>44457</v>
      </c>
      <c r="J85" s="114">
        <v>79839</v>
      </c>
      <c r="K85" s="114">
        <v>13966</v>
      </c>
      <c r="L85" s="114">
        <v>15332</v>
      </c>
      <c r="M85" s="114">
        <v>22668</v>
      </c>
      <c r="N85" s="114">
        <v>37201</v>
      </c>
      <c r="O85" s="114">
        <v>35144</v>
      </c>
    </row>
    <row r="86" spans="3:15">
      <c r="C86" s="111" t="s">
        <v>384</v>
      </c>
      <c r="D86" s="114">
        <v>572</v>
      </c>
      <c r="E86" s="114">
        <v>1309</v>
      </c>
      <c r="F86" s="114">
        <v>2947</v>
      </c>
      <c r="G86" s="114">
        <v>4472</v>
      </c>
      <c r="H86" s="114">
        <v>10216</v>
      </c>
      <c r="I86" s="114">
        <v>12047</v>
      </c>
      <c r="J86" s="114">
        <v>15548</v>
      </c>
      <c r="K86" s="114">
        <v>9122</v>
      </c>
      <c r="L86" s="114">
        <v>9045</v>
      </c>
      <c r="M86" s="114">
        <v>8387</v>
      </c>
      <c r="N86" s="114">
        <v>8354</v>
      </c>
      <c r="O86" s="114">
        <v>18722</v>
      </c>
    </row>
    <row r="87" spans="3:15">
      <c r="C87" s="111" t="s">
        <v>385</v>
      </c>
      <c r="D87" s="114">
        <v>70</v>
      </c>
      <c r="E87" s="114">
        <v>75</v>
      </c>
      <c r="F87" s="114">
        <v>68</v>
      </c>
      <c r="G87" s="114">
        <v>73</v>
      </c>
      <c r="H87" s="114">
        <v>67</v>
      </c>
      <c r="I87" s="114">
        <v>90</v>
      </c>
      <c r="J87" s="114">
        <v>81</v>
      </c>
      <c r="K87" s="114">
        <v>91</v>
      </c>
      <c r="L87" s="114">
        <v>91</v>
      </c>
      <c r="M87" s="114">
        <v>79</v>
      </c>
      <c r="N87" s="114">
        <v>45</v>
      </c>
      <c r="O87" s="114">
        <v>33</v>
      </c>
    </row>
    <row r="88" spans="3:15">
      <c r="C88" s="111" t="s">
        <v>386</v>
      </c>
      <c r="D88" s="114">
        <v>275033</v>
      </c>
      <c r="E88" s="114">
        <v>345312</v>
      </c>
      <c r="F88" s="114">
        <v>451213</v>
      </c>
      <c r="G88" s="114">
        <v>530134</v>
      </c>
      <c r="H88" s="114">
        <v>544229</v>
      </c>
      <c r="I88" s="114">
        <v>552103</v>
      </c>
      <c r="J88" s="114">
        <v>611865</v>
      </c>
      <c r="K88" s="114">
        <v>637061</v>
      </c>
      <c r="L88" s="114">
        <v>654140</v>
      </c>
      <c r="M88" s="114">
        <v>660160</v>
      </c>
      <c r="N88" s="114">
        <v>642433</v>
      </c>
      <c r="O88" s="114">
        <v>495749</v>
      </c>
    </row>
    <row r="89" spans="3:15">
      <c r="C89" s="111" t="s">
        <v>387</v>
      </c>
      <c r="D89" s="114">
        <v>3397</v>
      </c>
      <c r="E89" s="199" t="s">
        <v>365</v>
      </c>
      <c r="F89" s="114">
        <v>127212</v>
      </c>
      <c r="G89" s="114">
        <v>188340</v>
      </c>
      <c r="H89" s="114">
        <v>234697</v>
      </c>
      <c r="I89" s="114">
        <v>682226</v>
      </c>
      <c r="J89" s="114">
        <v>407364</v>
      </c>
      <c r="K89" s="114">
        <v>512300</v>
      </c>
      <c r="L89" s="114">
        <v>696935</v>
      </c>
      <c r="M89" s="114">
        <v>729650</v>
      </c>
      <c r="N89" s="114">
        <v>884545</v>
      </c>
      <c r="O89" s="114">
        <v>785732</v>
      </c>
    </row>
    <row r="92" spans="3:15" ht="23.25">
      <c r="C92" s="2" t="s">
        <v>389</v>
      </c>
      <c r="D92" s="153"/>
      <c r="E92" s="153"/>
      <c r="F92" s="153"/>
      <c r="G92" s="153"/>
      <c r="H92" s="153"/>
      <c r="I92" s="153"/>
      <c r="J92" s="153"/>
      <c r="K92" s="153"/>
    </row>
    <row r="93" spans="3:15">
      <c r="C93" s="153"/>
      <c r="D93" s="153"/>
      <c r="E93" s="153"/>
      <c r="F93" s="153"/>
      <c r="G93" s="153"/>
      <c r="H93" s="153"/>
      <c r="I93" s="153"/>
      <c r="J93" s="153"/>
      <c r="K93" s="153"/>
    </row>
    <row r="94" spans="3:15">
      <c r="C94" s="153" t="s">
        <v>309</v>
      </c>
      <c r="D94" s="175" t="s">
        <v>363</v>
      </c>
      <c r="E94" s="175" t="s">
        <v>364</v>
      </c>
      <c r="F94" s="175" t="s">
        <v>356</v>
      </c>
      <c r="G94" s="175" t="s">
        <v>357</v>
      </c>
      <c r="H94" s="175" t="s">
        <v>358</v>
      </c>
      <c r="I94" s="175" t="s">
        <v>359</v>
      </c>
      <c r="J94" s="175" t="s">
        <v>8</v>
      </c>
      <c r="K94" s="175" t="s">
        <v>9</v>
      </c>
      <c r="L94" s="175" t="s">
        <v>10</v>
      </c>
      <c r="M94" s="175" t="s">
        <v>11</v>
      </c>
      <c r="N94" s="175" t="s">
        <v>397</v>
      </c>
    </row>
    <row r="95" spans="3:15">
      <c r="C95" s="153" t="s">
        <v>375</v>
      </c>
      <c r="D95" s="194">
        <f t="shared" ref="D95:F95" si="8">E83/D83-1</f>
        <v>9.1788702928870203E-2</v>
      </c>
      <c r="E95" s="194">
        <f t="shared" si="8"/>
        <v>9.661377245508973E-2</v>
      </c>
      <c r="F95" s="194">
        <f t="shared" si="8"/>
        <v>8.5226977986124997E-2</v>
      </c>
      <c r="G95" s="194">
        <f t="shared" ref="G95:N101" si="9">H83/G83-1</f>
        <v>1.4704957419776843E-2</v>
      </c>
      <c r="H95" s="194">
        <f t="shared" si="9"/>
        <v>8.3331267200555281E-2</v>
      </c>
      <c r="I95" s="194">
        <f t="shared" si="9"/>
        <v>6.1003799148624527E-2</v>
      </c>
      <c r="J95" s="194">
        <f t="shared" si="9"/>
        <v>6.5762141524390971E-2</v>
      </c>
      <c r="K95" s="194">
        <f t="shared" si="9"/>
        <v>6.2056500742791787E-2</v>
      </c>
      <c r="L95" s="194">
        <f t="shared" si="9"/>
        <v>5.9530093779240456E-2</v>
      </c>
      <c r="M95" s="194">
        <f t="shared" si="9"/>
        <v>1.5335056413798398E-2</v>
      </c>
      <c r="N95" s="234">
        <f t="shared" si="9"/>
        <v>-1.097594892534548E-2</v>
      </c>
    </row>
    <row r="96" spans="3:15">
      <c r="C96" s="153" t="s">
        <v>376</v>
      </c>
      <c r="D96" s="194">
        <f t="shared" ref="D96:F96" si="10">E84/D84-1</f>
        <v>1.1394736842105262</v>
      </c>
      <c r="E96" s="194">
        <f t="shared" si="10"/>
        <v>-0.20459204592045921</v>
      </c>
      <c r="F96" s="194">
        <f t="shared" si="10"/>
        <v>0.4402061855670103</v>
      </c>
      <c r="G96" s="194">
        <f t="shared" si="9"/>
        <v>-5.7265569076592748E-2</v>
      </c>
      <c r="H96" s="194">
        <f t="shared" si="9"/>
        <v>0.2369020501138952</v>
      </c>
      <c r="I96" s="194">
        <f t="shared" si="9"/>
        <v>-0.8084714548802947</v>
      </c>
      <c r="J96" s="194">
        <f t="shared" si="9"/>
        <v>3.5176282051282053</v>
      </c>
      <c r="K96" s="194">
        <f t="shared" si="9"/>
        <v>1.8091521816246958E-2</v>
      </c>
      <c r="L96" s="194">
        <f t="shared" si="9"/>
        <v>3.1358885017421567E-2</v>
      </c>
      <c r="M96" s="194">
        <f t="shared" si="9"/>
        <v>2.7027027027026973E-2</v>
      </c>
      <c r="N96" s="234">
        <f t="shared" si="9"/>
        <v>0.1763157894736842</v>
      </c>
    </row>
    <row r="97" spans="3:15">
      <c r="C97" s="153" t="s">
        <v>377</v>
      </c>
      <c r="D97" s="195" t="s">
        <v>365</v>
      </c>
      <c r="E97" s="195" t="s">
        <v>365</v>
      </c>
      <c r="F97" s="194">
        <f t="shared" ref="F97" si="11">G85/F85-1</f>
        <v>4.31034482758621E-2</v>
      </c>
      <c r="G97" s="194">
        <f t="shared" si="9"/>
        <v>0.15871900826446272</v>
      </c>
      <c r="H97" s="194">
        <f t="shared" si="9"/>
        <v>0.58542847972611534</v>
      </c>
      <c r="I97" s="194">
        <f t="shared" si="9"/>
        <v>0.79587016667791355</v>
      </c>
      <c r="J97" s="194">
        <f t="shared" si="9"/>
        <v>-0.82507295933065294</v>
      </c>
      <c r="K97" s="194">
        <f t="shared" si="9"/>
        <v>9.7808964628383288E-2</v>
      </c>
      <c r="L97" s="194">
        <f t="shared" si="9"/>
        <v>0.47847638925123914</v>
      </c>
      <c r="M97" s="194">
        <f t="shared" si="9"/>
        <v>0.64112405152638074</v>
      </c>
      <c r="N97" s="234">
        <f t="shared" si="9"/>
        <v>-5.529421252116884E-2</v>
      </c>
    </row>
    <row r="98" spans="3:15">
      <c r="C98" s="153" t="s">
        <v>378</v>
      </c>
      <c r="D98" s="194">
        <f t="shared" ref="D98:F98" si="12">E86/D86-1</f>
        <v>1.2884615384615383</v>
      </c>
      <c r="E98" s="194">
        <f t="shared" si="12"/>
        <v>1.251336898395722</v>
      </c>
      <c r="F98" s="194">
        <f t="shared" si="12"/>
        <v>0.51747539871055315</v>
      </c>
      <c r="G98" s="194">
        <f t="shared" si="9"/>
        <v>1.2844364937388195</v>
      </c>
      <c r="H98" s="194">
        <f t="shared" si="9"/>
        <v>0.17922866092404077</v>
      </c>
      <c r="I98" s="194">
        <f t="shared" si="9"/>
        <v>0.29061177056528598</v>
      </c>
      <c r="J98" s="194">
        <f t="shared" si="9"/>
        <v>-0.41330074607666578</v>
      </c>
      <c r="K98" s="194">
        <f t="shared" si="9"/>
        <v>-8.4411313308484504E-3</v>
      </c>
      <c r="L98" s="194">
        <f t="shared" si="9"/>
        <v>-7.2747374239911511E-2</v>
      </c>
      <c r="M98" s="194">
        <f t="shared" si="9"/>
        <v>-3.9346607845475168E-3</v>
      </c>
      <c r="N98" s="234">
        <f t="shared" si="9"/>
        <v>1.2410821163514485</v>
      </c>
    </row>
    <row r="99" spans="3:15">
      <c r="C99" s="153" t="s">
        <v>379</v>
      </c>
      <c r="D99" s="194">
        <f t="shared" ref="D99:F99" si="13">E87/D87-1</f>
        <v>7.1428571428571397E-2</v>
      </c>
      <c r="E99" s="194">
        <f t="shared" si="13"/>
        <v>-9.3333333333333379E-2</v>
      </c>
      <c r="F99" s="194">
        <f t="shared" si="13"/>
        <v>7.3529411764705843E-2</v>
      </c>
      <c r="G99" s="194">
        <f t="shared" si="9"/>
        <v>-8.2191780821917804E-2</v>
      </c>
      <c r="H99" s="194">
        <f t="shared" si="9"/>
        <v>0.34328358208955234</v>
      </c>
      <c r="I99" s="194">
        <f t="shared" si="9"/>
        <v>-9.9999999999999978E-2</v>
      </c>
      <c r="J99" s="194">
        <f t="shared" si="9"/>
        <v>0.12345679012345689</v>
      </c>
      <c r="K99" s="194">
        <f t="shared" si="9"/>
        <v>0</v>
      </c>
      <c r="L99" s="194">
        <f t="shared" si="9"/>
        <v>-0.13186813186813184</v>
      </c>
      <c r="M99" s="194">
        <f t="shared" si="9"/>
        <v>-0.430379746835443</v>
      </c>
      <c r="N99" s="234">
        <f t="shared" si="9"/>
        <v>-0.26666666666666672</v>
      </c>
    </row>
    <row r="100" spans="3:15">
      <c r="C100" s="153" t="s">
        <v>380</v>
      </c>
      <c r="D100" s="194">
        <f t="shared" ref="D100:F100" si="14">E88/D88-1</f>
        <v>0.2555293364796225</v>
      </c>
      <c r="E100" s="194">
        <f t="shared" si="14"/>
        <v>0.30668207302381623</v>
      </c>
      <c r="F100" s="194">
        <f t="shared" si="14"/>
        <v>0.17490852435545956</v>
      </c>
      <c r="G100" s="194">
        <f t="shared" si="9"/>
        <v>2.6587617470299918E-2</v>
      </c>
      <c r="H100" s="194">
        <f t="shared" si="9"/>
        <v>1.4468174242827869E-2</v>
      </c>
      <c r="I100" s="194">
        <f t="shared" si="9"/>
        <v>0.10824429499568011</v>
      </c>
      <c r="J100" s="194">
        <f t="shared" si="9"/>
        <v>4.1179018247489152E-2</v>
      </c>
      <c r="K100" s="194">
        <f t="shared" si="9"/>
        <v>2.6809049682840369E-2</v>
      </c>
      <c r="L100" s="194">
        <f t="shared" si="9"/>
        <v>9.2029229216987751E-3</v>
      </c>
      <c r="M100" s="194">
        <f t="shared" si="9"/>
        <v>-2.6852581192438163E-2</v>
      </c>
      <c r="N100" s="234">
        <f t="shared" si="9"/>
        <v>-0.22832575537059896</v>
      </c>
    </row>
    <row r="101" spans="3:15">
      <c r="C101" s="153" t="s">
        <v>381</v>
      </c>
      <c r="D101" s="200" t="s">
        <v>365</v>
      </c>
      <c r="E101" s="200" t="s">
        <v>365</v>
      </c>
      <c r="F101" s="194">
        <f t="shared" ref="F101" si="15">G89/F89-1</f>
        <v>0.48052070559381188</v>
      </c>
      <c r="G101" s="194">
        <f t="shared" si="9"/>
        <v>0.24613465010088142</v>
      </c>
      <c r="H101" s="194">
        <f t="shared" si="9"/>
        <v>1.9068373264251353</v>
      </c>
      <c r="I101" s="194">
        <f t="shared" si="9"/>
        <v>-0.40288995142372175</v>
      </c>
      <c r="J101" s="194">
        <f t="shared" si="9"/>
        <v>0.25759762767451222</v>
      </c>
      <c r="K101" s="194">
        <f t="shared" si="9"/>
        <v>0.36040406012102277</v>
      </c>
      <c r="L101" s="194">
        <f t="shared" si="9"/>
        <v>4.6941249901353732E-2</v>
      </c>
      <c r="M101" s="194">
        <f t="shared" si="9"/>
        <v>0.21228671280751055</v>
      </c>
      <c r="N101" s="234">
        <f t="shared" si="9"/>
        <v>-0.11171054044734863</v>
      </c>
    </row>
    <row r="104" spans="3:15" ht="23.25">
      <c r="C104" s="2" t="s">
        <v>373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3:15"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3:15">
      <c r="C106" s="207" t="s">
        <v>309</v>
      </c>
      <c r="D106" s="175" t="s">
        <v>362</v>
      </c>
      <c r="E106" s="175" t="s">
        <v>363</v>
      </c>
      <c r="F106" s="175" t="s">
        <v>364</v>
      </c>
      <c r="G106" s="175" t="s">
        <v>356</v>
      </c>
      <c r="H106" s="175" t="s">
        <v>357</v>
      </c>
      <c r="I106" s="175" t="s">
        <v>358</v>
      </c>
      <c r="J106" s="175" t="s">
        <v>359</v>
      </c>
      <c r="K106" s="175" t="s">
        <v>8</v>
      </c>
      <c r="L106" s="175" t="s">
        <v>9</v>
      </c>
      <c r="M106" s="175" t="s">
        <v>10</v>
      </c>
      <c r="N106" s="175" t="s">
        <v>11</v>
      </c>
      <c r="O106" s="175" t="s">
        <v>397</v>
      </c>
    </row>
    <row r="107" spans="3:15">
      <c r="C107" s="207" t="s">
        <v>375</v>
      </c>
      <c r="D107" s="208">
        <v>519111.83333333331</v>
      </c>
      <c r="E107" s="208">
        <v>564234.31914893619</v>
      </c>
      <c r="F107" s="208">
        <v>565838.47916666663</v>
      </c>
      <c r="G107" s="208">
        <v>594412.69387755101</v>
      </c>
      <c r="H107" s="208">
        <v>607168.51020408166</v>
      </c>
      <c r="I107" s="208">
        <v>627166.83673469385</v>
      </c>
      <c r="J107" s="208">
        <v>653325.55102040817</v>
      </c>
      <c r="K107" s="208">
        <v>674035.53061224485</v>
      </c>
      <c r="L107" s="208">
        <v>692506.85714285716</v>
      </c>
      <c r="M107" s="208">
        <v>702667</v>
      </c>
      <c r="N107" s="114">
        <v>688234</v>
      </c>
      <c r="O107" s="114">
        <v>716212</v>
      </c>
    </row>
    <row r="108" spans="3:15">
      <c r="C108" s="207" t="s">
        <v>376</v>
      </c>
      <c r="D108" s="114">
        <v>11288.229166666666</v>
      </c>
      <c r="E108" s="114">
        <v>12330.979166666666</v>
      </c>
      <c r="F108" s="114">
        <v>12286.458333333334</v>
      </c>
      <c r="G108" s="114">
        <v>12432.530612244898</v>
      </c>
      <c r="H108" s="114">
        <v>12081.857142857143</v>
      </c>
      <c r="I108" s="114">
        <v>13380.061224489797</v>
      </c>
      <c r="J108" s="114">
        <v>13089.530612244898</v>
      </c>
      <c r="K108" s="114">
        <v>12095.693877551021</v>
      </c>
      <c r="L108" s="114">
        <v>12489.326530612245</v>
      </c>
      <c r="M108" s="114">
        <v>12128.08</v>
      </c>
      <c r="N108" s="114">
        <v>11562</v>
      </c>
      <c r="O108" s="114">
        <v>12479</v>
      </c>
    </row>
    <row r="109" spans="3:15">
      <c r="C109" s="207" t="s">
        <v>377</v>
      </c>
      <c r="D109" s="114"/>
      <c r="E109" s="114"/>
      <c r="F109" s="114">
        <v>35235.800000000003</v>
      </c>
      <c r="G109" s="114">
        <v>43096.243902439026</v>
      </c>
      <c r="H109" s="114">
        <v>58702.142857142855</v>
      </c>
      <c r="I109" s="114">
        <v>62032.444444444445</v>
      </c>
      <c r="J109" s="114">
        <v>71687.936170212764</v>
      </c>
      <c r="K109" s="114">
        <v>87368.25</v>
      </c>
      <c r="L109" s="114">
        <v>81558.510204081627</v>
      </c>
      <c r="M109" s="114">
        <v>99102.571428571435</v>
      </c>
      <c r="N109" s="114">
        <v>108084</v>
      </c>
      <c r="O109" s="114">
        <v>127829</v>
      </c>
    </row>
    <row r="110" spans="3:15">
      <c r="C110" s="207" t="s">
        <v>378</v>
      </c>
      <c r="D110" s="114">
        <v>2075.5833333333335</v>
      </c>
      <c r="E110" s="114">
        <v>3097.125</v>
      </c>
      <c r="F110" s="114">
        <v>4797.041666666667</v>
      </c>
      <c r="G110" s="114">
        <v>8761.4693877551017</v>
      </c>
      <c r="H110" s="114">
        <v>11188.714285714286</v>
      </c>
      <c r="I110" s="114">
        <v>13312.469387755102</v>
      </c>
      <c r="J110" s="114">
        <v>15367.734693877552</v>
      </c>
      <c r="K110" s="114">
        <v>17985.979591836734</v>
      </c>
      <c r="L110" s="114">
        <v>20407.326530612245</v>
      </c>
      <c r="M110" s="114">
        <v>21099.530612244896</v>
      </c>
      <c r="N110" s="114">
        <v>22640</v>
      </c>
      <c r="O110" s="114">
        <v>23381</v>
      </c>
    </row>
    <row r="111" spans="3:15">
      <c r="C111" s="207" t="s">
        <v>379</v>
      </c>
      <c r="D111" s="114">
        <v>139.375</v>
      </c>
      <c r="E111" s="114">
        <v>167.625</v>
      </c>
      <c r="F111" s="114">
        <v>134.85416666666666</v>
      </c>
      <c r="G111" s="114">
        <v>139.87755102040816</v>
      </c>
      <c r="H111" s="114">
        <v>133.57142857142858</v>
      </c>
      <c r="I111" s="114">
        <v>149.32653061224491</v>
      </c>
      <c r="J111" s="114">
        <v>123.08163265306122</v>
      </c>
      <c r="K111" s="114">
        <v>131.67346938775509</v>
      </c>
      <c r="L111" s="114">
        <v>132</v>
      </c>
      <c r="M111" s="114">
        <v>130.9</v>
      </c>
      <c r="N111" s="114">
        <v>127</v>
      </c>
      <c r="O111" s="114">
        <v>112</v>
      </c>
    </row>
  </sheetData>
  <mergeCells count="5">
    <mergeCell ref="J76:K76"/>
    <mergeCell ref="F76:G76"/>
    <mergeCell ref="D76:E76"/>
    <mergeCell ref="H76:I76"/>
    <mergeCell ref="L76:M76"/>
  </mergeCells>
  <pageMargins left="0.7" right="0.7" top="0.75" bottom="0.75" header="0.3" footer="0.3"/>
  <pageSetup paperSize="9" orientation="portrait"/>
  <ignoredErrors>
    <ignoredError sqref="D72:I72" formulaRange="1"/>
  </ignoredErrors>
  <drawing r:id="rId1"/>
  <legacyDrawing r:id="rId2"/>
  <tableParts count="6"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1"/>
  <sheetViews>
    <sheetView workbookViewId="0">
      <selection activeCell="C10" sqref="C10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6" max="6" width="21.42578125" bestFit="1" customWidth="1"/>
    <col min="7" max="8" width="12" customWidth="1"/>
    <col min="9" max="9" width="2.42578125" customWidth="1"/>
    <col min="10" max="10" width="2.7109375" customWidth="1"/>
    <col min="11" max="11" width="32" bestFit="1" customWidth="1"/>
    <col min="12" max="12" width="12.42578125" bestFit="1" customWidth="1"/>
    <col min="13" max="13" width="12" customWidth="1"/>
  </cols>
  <sheetData>
    <row r="1" spans="1:13" ht="15.75" thickBot="1"/>
    <row r="2" spans="1:13" ht="32.25" thickTop="1">
      <c r="B2" s="89">
        <v>2010</v>
      </c>
      <c r="F2" s="273" t="s">
        <v>140</v>
      </c>
      <c r="G2" s="274"/>
      <c r="H2" s="275"/>
      <c r="K2" s="276"/>
      <c r="L2" s="276"/>
      <c r="M2" s="276"/>
    </row>
    <row r="3" spans="1:13">
      <c r="F3" s="95"/>
      <c r="G3" s="90"/>
      <c r="H3" s="96"/>
    </row>
    <row r="4" spans="1:13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13">
      <c r="A5">
        <v>1</v>
      </c>
      <c r="B5" t="s">
        <v>65</v>
      </c>
      <c r="C5" t="s">
        <v>66</v>
      </c>
      <c r="D5">
        <v>5</v>
      </c>
      <c r="F5" s="95" t="s">
        <v>127</v>
      </c>
      <c r="G5" s="94">
        <f>STDEV(D5:D34)</f>
        <v>17.83242558652217</v>
      </c>
      <c r="H5" s="96"/>
    </row>
    <row r="6" spans="1:13">
      <c r="A6">
        <v>2</v>
      </c>
      <c r="B6" t="s">
        <v>72</v>
      </c>
      <c r="C6" t="s">
        <v>66</v>
      </c>
      <c r="D6">
        <v>3</v>
      </c>
      <c r="F6" s="95"/>
      <c r="G6" s="90"/>
      <c r="H6" s="96"/>
    </row>
    <row r="7" spans="1:13">
      <c r="A7">
        <v>3</v>
      </c>
      <c r="B7" t="s">
        <v>67</v>
      </c>
      <c r="C7" t="s">
        <v>66</v>
      </c>
      <c r="D7">
        <v>15</v>
      </c>
      <c r="F7" s="95" t="s">
        <v>128</v>
      </c>
      <c r="G7" s="90">
        <v>1.96</v>
      </c>
      <c r="H7" s="96"/>
    </row>
    <row r="8" spans="1:13">
      <c r="A8">
        <v>4</v>
      </c>
      <c r="B8" t="s">
        <v>68</v>
      </c>
      <c r="C8" t="s">
        <v>66</v>
      </c>
      <c r="D8">
        <v>11</v>
      </c>
      <c r="F8" s="95"/>
      <c r="G8" s="90"/>
      <c r="H8" s="96"/>
    </row>
    <row r="9" spans="1:13">
      <c r="A9">
        <v>5</v>
      </c>
      <c r="B9" t="s">
        <v>69</v>
      </c>
      <c r="C9" t="s">
        <v>64</v>
      </c>
      <c r="D9">
        <v>71</v>
      </c>
      <c r="F9" s="95" t="s">
        <v>129</v>
      </c>
      <c r="G9" s="90">
        <v>4</v>
      </c>
      <c r="H9" s="96"/>
    </row>
    <row r="10" spans="1:13">
      <c r="A10">
        <v>6</v>
      </c>
      <c r="B10" t="s">
        <v>70</v>
      </c>
      <c r="C10" t="s">
        <v>64</v>
      </c>
      <c r="D10">
        <v>41</v>
      </c>
      <c r="F10" s="95"/>
      <c r="G10" s="90"/>
      <c r="H10" s="96"/>
    </row>
    <row r="11" spans="1:13">
      <c r="A11">
        <v>7</v>
      </c>
      <c r="B11" t="s">
        <v>71</v>
      </c>
      <c r="C11" t="s">
        <v>64</v>
      </c>
      <c r="D11">
        <v>44</v>
      </c>
      <c r="F11" s="95" t="s">
        <v>130</v>
      </c>
      <c r="G11" s="91">
        <f>((G7*G7)*(G5*G5))/(G9*G9)</f>
        <v>76.350696091954006</v>
      </c>
      <c r="H11" s="96"/>
    </row>
    <row r="12" spans="1:13">
      <c r="A12">
        <v>8</v>
      </c>
      <c r="B12" t="s">
        <v>73</v>
      </c>
      <c r="C12" t="s">
        <v>64</v>
      </c>
      <c r="D12">
        <v>5</v>
      </c>
      <c r="F12" s="95"/>
      <c r="G12" s="90"/>
      <c r="H12" s="96"/>
    </row>
    <row r="13" spans="1:13">
      <c r="A13">
        <v>9</v>
      </c>
      <c r="B13" t="s">
        <v>74</v>
      </c>
      <c r="C13" t="s">
        <v>64</v>
      </c>
      <c r="D13">
        <v>49</v>
      </c>
      <c r="F13" s="95"/>
      <c r="G13" s="90"/>
      <c r="H13" s="96"/>
    </row>
    <row r="14" spans="1:13">
      <c r="A14">
        <v>10</v>
      </c>
      <c r="B14" t="s">
        <v>75</v>
      </c>
      <c r="C14" t="s">
        <v>64</v>
      </c>
      <c r="D14">
        <v>24</v>
      </c>
      <c r="F14" s="95"/>
      <c r="G14" s="90"/>
      <c r="H14" s="96"/>
    </row>
    <row r="15" spans="1:13">
      <c r="A15">
        <v>11</v>
      </c>
      <c r="B15" t="s">
        <v>76</v>
      </c>
      <c r="C15" t="s">
        <v>66</v>
      </c>
      <c r="D15">
        <v>1</v>
      </c>
      <c r="F15" s="95"/>
      <c r="G15" s="90"/>
      <c r="H15" s="96"/>
    </row>
    <row r="16" spans="1:13">
      <c r="A16">
        <v>12</v>
      </c>
      <c r="B16" t="s">
        <v>77</v>
      </c>
      <c r="C16" t="s">
        <v>66</v>
      </c>
      <c r="D16">
        <v>5</v>
      </c>
      <c r="F16" s="95" t="s">
        <v>137</v>
      </c>
      <c r="G16" s="91" t="s">
        <v>136</v>
      </c>
      <c r="H16" s="96" t="s">
        <v>135</v>
      </c>
    </row>
    <row r="17" spans="1:9">
      <c r="A17">
        <v>13</v>
      </c>
      <c r="B17" t="s">
        <v>78</v>
      </c>
      <c r="C17" t="s">
        <v>64</v>
      </c>
      <c r="D17">
        <v>25</v>
      </c>
      <c r="F17" s="95" t="s">
        <v>131</v>
      </c>
      <c r="G17" s="91">
        <f>AVERAGE(D5:D81)</f>
        <v>29.90909090909091</v>
      </c>
      <c r="H17" s="96"/>
    </row>
    <row r="18" spans="1:9">
      <c r="A18">
        <v>14</v>
      </c>
      <c r="B18" t="s">
        <v>79</v>
      </c>
      <c r="C18" t="s">
        <v>64</v>
      </c>
      <c r="D18">
        <v>17</v>
      </c>
      <c r="F18" s="95"/>
      <c r="G18" s="90"/>
      <c r="H18" s="96"/>
    </row>
    <row r="19" spans="1:9">
      <c r="A19">
        <v>15</v>
      </c>
      <c r="B19" t="s">
        <v>80</v>
      </c>
      <c r="C19" t="s">
        <v>66</v>
      </c>
      <c r="D19">
        <v>7</v>
      </c>
      <c r="F19" s="95" t="s">
        <v>128</v>
      </c>
      <c r="G19" s="90">
        <v>1.96</v>
      </c>
      <c r="H19" s="96"/>
    </row>
    <row r="20" spans="1:9">
      <c r="A20">
        <v>16</v>
      </c>
      <c r="B20" t="s">
        <v>81</v>
      </c>
      <c r="C20" t="s">
        <v>64</v>
      </c>
      <c r="D20">
        <v>32</v>
      </c>
      <c r="F20" s="95"/>
      <c r="G20" s="90"/>
      <c r="H20" s="96"/>
    </row>
    <row r="21" spans="1:9">
      <c r="A21">
        <v>17</v>
      </c>
      <c r="B21" t="s">
        <v>82</v>
      </c>
      <c r="C21" t="s">
        <v>66</v>
      </c>
      <c r="D21">
        <v>28</v>
      </c>
      <c r="F21" s="95" t="s">
        <v>133</v>
      </c>
      <c r="G21" s="91">
        <f>G5/SQRT(77)</f>
        <v>2.0321934995136637</v>
      </c>
      <c r="H21" s="96"/>
    </row>
    <row r="22" spans="1:9">
      <c r="A22">
        <v>18</v>
      </c>
      <c r="B22" t="s">
        <v>83</v>
      </c>
      <c r="C22" t="s">
        <v>64</v>
      </c>
      <c r="D22">
        <v>10</v>
      </c>
      <c r="F22" s="95"/>
      <c r="G22" s="90"/>
      <c r="H22" s="96"/>
    </row>
    <row r="23" spans="1:9" ht="15.75" thickBot="1">
      <c r="A23">
        <v>19</v>
      </c>
      <c r="B23" t="s">
        <v>84</v>
      </c>
      <c r="C23" t="s">
        <v>66</v>
      </c>
      <c r="D23">
        <v>0</v>
      </c>
      <c r="F23" s="97" t="s">
        <v>134</v>
      </c>
      <c r="G23" s="98">
        <f>$G$17-$G$19*$G$21</f>
        <v>25.925991650044129</v>
      </c>
      <c r="H23" s="99">
        <f>$G$17+$G$19*$G$21</f>
        <v>33.892190168137688</v>
      </c>
      <c r="I23" s="92"/>
    </row>
    <row r="24" spans="1:9" ht="15.75" thickTop="1">
      <c r="A24">
        <v>20</v>
      </c>
      <c r="B24" t="s">
        <v>85</v>
      </c>
      <c r="C24" t="s">
        <v>64</v>
      </c>
      <c r="D24">
        <v>23</v>
      </c>
    </row>
    <row r="25" spans="1:9">
      <c r="A25">
        <v>21</v>
      </c>
      <c r="B25" t="s">
        <v>86</v>
      </c>
      <c r="C25" t="s">
        <v>64</v>
      </c>
      <c r="D25">
        <v>24</v>
      </c>
    </row>
    <row r="26" spans="1:9">
      <c r="A26">
        <v>22</v>
      </c>
      <c r="B26" t="s">
        <v>87</v>
      </c>
      <c r="C26" t="s">
        <v>64</v>
      </c>
      <c r="D26">
        <v>40</v>
      </c>
    </row>
    <row r="27" spans="1:9">
      <c r="A27">
        <v>23</v>
      </c>
      <c r="B27" t="s">
        <v>88</v>
      </c>
      <c r="C27" t="s">
        <v>64</v>
      </c>
      <c r="D27">
        <v>62</v>
      </c>
    </row>
    <row r="28" spans="1:9">
      <c r="A28">
        <v>24</v>
      </c>
      <c r="B28" t="s">
        <v>89</v>
      </c>
      <c r="C28" t="s">
        <v>66</v>
      </c>
      <c r="D28">
        <v>39</v>
      </c>
    </row>
    <row r="29" spans="1:9">
      <c r="A29">
        <v>25</v>
      </c>
      <c r="B29" t="s">
        <v>90</v>
      </c>
      <c r="C29" t="s">
        <v>64</v>
      </c>
      <c r="D29">
        <v>13</v>
      </c>
    </row>
    <row r="30" spans="1:9">
      <c r="A30">
        <v>26</v>
      </c>
      <c r="B30" t="s">
        <v>91</v>
      </c>
      <c r="C30" t="s">
        <v>66</v>
      </c>
      <c r="D30">
        <v>26</v>
      </c>
    </row>
    <row r="31" spans="1:9">
      <c r="A31">
        <v>27</v>
      </c>
      <c r="B31" t="s">
        <v>92</v>
      </c>
      <c r="C31" t="s">
        <v>66</v>
      </c>
      <c r="D31">
        <v>24</v>
      </c>
    </row>
    <row r="32" spans="1:9">
      <c r="A32">
        <v>28</v>
      </c>
      <c r="B32" t="s">
        <v>93</v>
      </c>
      <c r="C32" t="s">
        <v>64</v>
      </c>
      <c r="D32">
        <v>17</v>
      </c>
    </row>
    <row r="33" spans="1:4">
      <c r="A33">
        <v>29</v>
      </c>
      <c r="B33" t="s">
        <v>94</v>
      </c>
      <c r="C33" t="s">
        <v>66</v>
      </c>
      <c r="D33">
        <v>24</v>
      </c>
    </row>
    <row r="34" spans="1:4">
      <c r="A34">
        <v>30</v>
      </c>
      <c r="B34" t="s">
        <v>95</v>
      </c>
      <c r="C34" t="s">
        <v>66</v>
      </c>
      <c r="D34">
        <v>13</v>
      </c>
    </row>
    <row r="35" spans="1:4">
      <c r="A35">
        <v>31</v>
      </c>
      <c r="B35" s="90" t="s">
        <v>279</v>
      </c>
      <c r="C35" s="90" t="s">
        <v>66</v>
      </c>
      <c r="D35" s="90">
        <v>11</v>
      </c>
    </row>
    <row r="36" spans="1:4">
      <c r="A36">
        <v>32</v>
      </c>
      <c r="B36" t="s">
        <v>280</v>
      </c>
      <c r="C36" s="90" t="s">
        <v>66</v>
      </c>
      <c r="D36" s="90">
        <v>2</v>
      </c>
    </row>
    <row r="37" spans="1:4">
      <c r="A37">
        <v>33</v>
      </c>
      <c r="B37" s="90" t="s">
        <v>281</v>
      </c>
      <c r="C37" s="90" t="s">
        <v>66</v>
      </c>
      <c r="D37" s="90">
        <v>18</v>
      </c>
    </row>
    <row r="38" spans="1:4">
      <c r="A38">
        <v>34</v>
      </c>
      <c r="B38" t="s">
        <v>282</v>
      </c>
      <c r="C38" s="90" t="s">
        <v>66</v>
      </c>
      <c r="D38" s="90">
        <v>19</v>
      </c>
    </row>
    <row r="39" spans="1:4">
      <c r="A39">
        <v>35</v>
      </c>
      <c r="B39" s="90" t="s">
        <v>283</v>
      </c>
      <c r="C39" s="90" t="s">
        <v>66</v>
      </c>
      <c r="D39" s="90">
        <v>15</v>
      </c>
    </row>
    <row r="40" spans="1:4">
      <c r="A40">
        <v>36</v>
      </c>
      <c r="B40" s="90" t="s">
        <v>284</v>
      </c>
      <c r="C40" s="90" t="s">
        <v>66</v>
      </c>
      <c r="D40" s="90">
        <v>14</v>
      </c>
    </row>
    <row r="41" spans="1:4">
      <c r="A41">
        <v>37</v>
      </c>
      <c r="B41" s="90" t="s">
        <v>285</v>
      </c>
      <c r="C41" s="90" t="s">
        <v>66</v>
      </c>
      <c r="D41" s="90">
        <v>17</v>
      </c>
    </row>
    <row r="42" spans="1:4">
      <c r="A42">
        <v>38</v>
      </c>
      <c r="B42" t="s">
        <v>286</v>
      </c>
      <c r="C42" s="90" t="s">
        <v>66</v>
      </c>
      <c r="D42" s="90">
        <v>12</v>
      </c>
    </row>
    <row r="43" spans="1:4">
      <c r="A43">
        <v>39</v>
      </c>
      <c r="B43" t="s">
        <v>287</v>
      </c>
      <c r="C43" s="90" t="s">
        <v>66</v>
      </c>
      <c r="D43" s="90">
        <v>24</v>
      </c>
    </row>
    <row r="44" spans="1:4">
      <c r="A44">
        <v>40</v>
      </c>
      <c r="B44" t="s">
        <v>288</v>
      </c>
      <c r="C44" s="90" t="s">
        <v>66</v>
      </c>
      <c r="D44" s="90">
        <v>11</v>
      </c>
    </row>
    <row r="45" spans="1:4">
      <c r="A45">
        <v>41</v>
      </c>
      <c r="B45" s="90" t="s">
        <v>242</v>
      </c>
      <c r="C45" s="90" t="s">
        <v>64</v>
      </c>
      <c r="D45" s="90">
        <v>41</v>
      </c>
    </row>
    <row r="46" spans="1:4">
      <c r="A46">
        <v>42</v>
      </c>
      <c r="B46" s="90" t="s">
        <v>243</v>
      </c>
      <c r="C46" s="90" t="s">
        <v>64</v>
      </c>
      <c r="D46" s="90">
        <v>29</v>
      </c>
    </row>
    <row r="47" spans="1:4">
      <c r="A47">
        <v>43</v>
      </c>
      <c r="B47" s="90" t="s">
        <v>244</v>
      </c>
      <c r="C47" s="90" t="s">
        <v>64</v>
      </c>
      <c r="D47" s="90">
        <v>32</v>
      </c>
    </row>
    <row r="48" spans="1:4">
      <c r="A48">
        <v>44</v>
      </c>
      <c r="B48" s="90" t="s">
        <v>245</v>
      </c>
      <c r="C48" s="90" t="s">
        <v>64</v>
      </c>
      <c r="D48" s="90">
        <v>17</v>
      </c>
    </row>
    <row r="49" spans="1:4">
      <c r="A49">
        <v>45</v>
      </c>
      <c r="B49" s="90" t="s">
        <v>246</v>
      </c>
      <c r="C49" s="90" t="s">
        <v>64</v>
      </c>
      <c r="D49" s="90">
        <v>40</v>
      </c>
    </row>
    <row r="50" spans="1:4">
      <c r="A50">
        <v>46</v>
      </c>
      <c r="B50" s="90" t="s">
        <v>247</v>
      </c>
      <c r="C50" s="90" t="s">
        <v>64</v>
      </c>
      <c r="D50" s="90">
        <v>118</v>
      </c>
    </row>
    <row r="51" spans="1:4">
      <c r="A51">
        <v>47</v>
      </c>
      <c r="B51" s="90" t="s">
        <v>248</v>
      </c>
      <c r="C51" s="90" t="s">
        <v>64</v>
      </c>
      <c r="D51" s="90">
        <v>88</v>
      </c>
    </row>
    <row r="52" spans="1:4">
      <c r="A52">
        <v>48</v>
      </c>
      <c r="B52" s="90" t="s">
        <v>249</v>
      </c>
      <c r="C52" s="90" t="s">
        <v>64</v>
      </c>
      <c r="D52" s="90">
        <v>28</v>
      </c>
    </row>
    <row r="53" spans="1:4">
      <c r="A53">
        <v>49</v>
      </c>
      <c r="B53" s="90" t="s">
        <v>250</v>
      </c>
      <c r="C53" s="90" t="s">
        <v>64</v>
      </c>
      <c r="D53" s="90">
        <v>35</v>
      </c>
    </row>
    <row r="54" spans="1:4">
      <c r="A54">
        <v>50</v>
      </c>
      <c r="B54" s="90" t="s">
        <v>251</v>
      </c>
      <c r="C54" s="90" t="s">
        <v>64</v>
      </c>
      <c r="D54" s="90">
        <v>62</v>
      </c>
    </row>
    <row r="55" spans="1:4">
      <c r="A55">
        <v>51</v>
      </c>
      <c r="B55" s="90" t="s">
        <v>252</v>
      </c>
      <c r="C55" s="90" t="s">
        <v>64</v>
      </c>
      <c r="D55" s="90">
        <v>45</v>
      </c>
    </row>
    <row r="56" spans="1:4">
      <c r="A56">
        <v>52</v>
      </c>
      <c r="B56" s="90" t="s">
        <v>253</v>
      </c>
      <c r="C56" s="90" t="s">
        <v>64</v>
      </c>
      <c r="D56" s="90">
        <v>30</v>
      </c>
    </row>
    <row r="57" spans="1:4">
      <c r="A57">
        <v>53</v>
      </c>
      <c r="B57" s="90" t="s">
        <v>254</v>
      </c>
      <c r="C57" s="90" t="s">
        <v>64</v>
      </c>
      <c r="D57" s="90">
        <v>60</v>
      </c>
    </row>
    <row r="58" spans="1:4">
      <c r="A58">
        <v>54</v>
      </c>
      <c r="B58" s="90" t="s">
        <v>255</v>
      </c>
      <c r="C58" s="90" t="s">
        <v>64</v>
      </c>
      <c r="D58" s="90">
        <v>56</v>
      </c>
    </row>
    <row r="59" spans="1:4">
      <c r="A59">
        <v>55</v>
      </c>
      <c r="B59" s="90" t="s">
        <v>256</v>
      </c>
      <c r="C59" s="90" t="s">
        <v>64</v>
      </c>
      <c r="D59" s="90">
        <v>71</v>
      </c>
    </row>
    <row r="60" spans="1:4">
      <c r="A60">
        <v>56</v>
      </c>
      <c r="B60" s="90" t="s">
        <v>257</v>
      </c>
      <c r="C60" s="90" t="s">
        <v>64</v>
      </c>
      <c r="D60" s="90">
        <v>31</v>
      </c>
    </row>
    <row r="61" spans="1:4">
      <c r="A61">
        <v>57</v>
      </c>
      <c r="B61" s="90" t="s">
        <v>258</v>
      </c>
      <c r="C61" s="90" t="s">
        <v>64</v>
      </c>
      <c r="D61" s="90">
        <v>40</v>
      </c>
    </row>
    <row r="62" spans="1:4">
      <c r="A62">
        <v>58</v>
      </c>
      <c r="B62" s="90" t="s">
        <v>259</v>
      </c>
      <c r="C62" s="90" t="s">
        <v>64</v>
      </c>
      <c r="D62" s="90">
        <v>19</v>
      </c>
    </row>
    <row r="63" spans="1:4">
      <c r="A63">
        <v>59</v>
      </c>
      <c r="B63" s="90" t="s">
        <v>260</v>
      </c>
      <c r="C63" s="90" t="s">
        <v>64</v>
      </c>
      <c r="D63" s="90">
        <v>82</v>
      </c>
    </row>
    <row r="64" spans="1:4">
      <c r="A64">
        <v>60</v>
      </c>
      <c r="B64" s="90" t="s">
        <v>261</v>
      </c>
      <c r="C64" s="90" t="s">
        <v>64</v>
      </c>
      <c r="D64" s="90">
        <v>89</v>
      </c>
    </row>
    <row r="65" spans="1:4">
      <c r="A65">
        <v>61</v>
      </c>
      <c r="B65" s="90" t="s">
        <v>262</v>
      </c>
      <c r="C65" s="90" t="s">
        <v>64</v>
      </c>
      <c r="D65" s="90">
        <v>47</v>
      </c>
    </row>
    <row r="66" spans="1:4">
      <c r="A66">
        <v>62</v>
      </c>
      <c r="B66" s="90" t="s">
        <v>263</v>
      </c>
      <c r="C66" s="90" t="s">
        <v>64</v>
      </c>
      <c r="D66" s="90">
        <v>31</v>
      </c>
    </row>
    <row r="67" spans="1:4">
      <c r="A67">
        <v>63</v>
      </c>
      <c r="B67" s="90" t="s">
        <v>264</v>
      </c>
      <c r="C67" s="90" t="s">
        <v>64</v>
      </c>
      <c r="D67" s="90">
        <v>32</v>
      </c>
    </row>
    <row r="68" spans="1:4">
      <c r="A68">
        <v>64</v>
      </c>
      <c r="B68" s="90" t="s">
        <v>265</v>
      </c>
      <c r="C68" s="90" t="s">
        <v>64</v>
      </c>
      <c r="D68" s="90">
        <v>50</v>
      </c>
    </row>
    <row r="69" spans="1:4">
      <c r="A69">
        <v>65</v>
      </c>
      <c r="B69" s="90" t="s">
        <v>266</v>
      </c>
      <c r="C69" s="90" t="s">
        <v>64</v>
      </c>
      <c r="D69" s="90">
        <v>33</v>
      </c>
    </row>
    <row r="70" spans="1:4">
      <c r="A70">
        <v>66</v>
      </c>
      <c r="B70" s="90" t="s">
        <v>267</v>
      </c>
      <c r="C70" s="90" t="s">
        <v>64</v>
      </c>
      <c r="D70" s="90">
        <v>59</v>
      </c>
    </row>
    <row r="71" spans="1:4">
      <c r="A71">
        <v>67</v>
      </c>
      <c r="B71" s="90" t="s">
        <v>268</v>
      </c>
      <c r="C71" s="90" t="s">
        <v>64</v>
      </c>
      <c r="D71" s="90">
        <v>31</v>
      </c>
    </row>
    <row r="72" spans="1:4">
      <c r="A72">
        <v>68</v>
      </c>
      <c r="B72" t="s">
        <v>269</v>
      </c>
      <c r="C72" s="90" t="s">
        <v>66</v>
      </c>
      <c r="D72" s="90">
        <v>6</v>
      </c>
    </row>
    <row r="73" spans="1:4">
      <c r="A73">
        <v>69</v>
      </c>
      <c r="B73" t="s">
        <v>270</v>
      </c>
      <c r="C73" s="90" t="s">
        <v>66</v>
      </c>
      <c r="D73" s="90">
        <v>28</v>
      </c>
    </row>
    <row r="74" spans="1:4">
      <c r="A74">
        <v>70</v>
      </c>
      <c r="B74" t="s">
        <v>271</v>
      </c>
      <c r="C74" s="90" t="s">
        <v>66</v>
      </c>
      <c r="D74" s="90">
        <v>17</v>
      </c>
    </row>
    <row r="75" spans="1:4">
      <c r="A75">
        <v>71</v>
      </c>
      <c r="B75" t="s">
        <v>272</v>
      </c>
      <c r="C75" s="90" t="s">
        <v>66</v>
      </c>
      <c r="D75" s="90">
        <v>11</v>
      </c>
    </row>
    <row r="76" spans="1:4">
      <c r="A76">
        <v>72</v>
      </c>
      <c r="B76" t="s">
        <v>273</v>
      </c>
      <c r="C76" s="90" t="s">
        <v>66</v>
      </c>
      <c r="D76" s="90">
        <v>47</v>
      </c>
    </row>
    <row r="77" spans="1:4">
      <c r="A77">
        <v>73</v>
      </c>
      <c r="B77" t="s">
        <v>274</v>
      </c>
      <c r="C77" s="90" t="s">
        <v>66</v>
      </c>
      <c r="D77" s="90">
        <v>22</v>
      </c>
    </row>
    <row r="78" spans="1:4">
      <c r="A78">
        <v>74</v>
      </c>
      <c r="B78" t="s">
        <v>275</v>
      </c>
      <c r="C78" s="90" t="s">
        <v>66</v>
      </c>
      <c r="D78" s="90">
        <v>11</v>
      </c>
    </row>
    <row r="79" spans="1:4">
      <c r="A79">
        <v>75</v>
      </c>
      <c r="B79" t="s">
        <v>276</v>
      </c>
      <c r="C79" s="90" t="s">
        <v>66</v>
      </c>
      <c r="D79" s="90">
        <v>3</v>
      </c>
    </row>
    <row r="80" spans="1:4">
      <c r="A80">
        <v>76</v>
      </c>
      <c r="B80" t="s">
        <v>277</v>
      </c>
      <c r="C80" s="90" t="s">
        <v>66</v>
      </c>
      <c r="D80" s="90">
        <v>5</v>
      </c>
    </row>
    <row r="81" spans="1:4">
      <c r="A81">
        <v>77</v>
      </c>
      <c r="B81" t="s">
        <v>278</v>
      </c>
      <c r="C81" s="90" t="s">
        <v>66</v>
      </c>
      <c r="D81" s="90">
        <v>16</v>
      </c>
    </row>
  </sheetData>
  <mergeCells count="2">
    <mergeCell ref="F2:H2"/>
    <mergeCell ref="K2:M2"/>
  </mergeCells>
  <pageMargins left="0.7" right="0.7" top="0.75" bottom="0.75" header="0.3" footer="0.3"/>
  <pageSetup paperSize="9" orientation="portrait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K32" sqref="K32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5" max="5" width="17" customWidth="1"/>
    <col min="6" max="6" width="11.42578125" bestFit="1" customWidth="1"/>
    <col min="8" max="8" width="22.140625" customWidth="1"/>
    <col min="10" max="10" width="9.85546875" bestFit="1" customWidth="1"/>
    <col min="11" max="12" width="3.42578125" customWidth="1"/>
    <col min="13" max="13" width="32" bestFit="1" customWidth="1"/>
  </cols>
  <sheetData>
    <row r="1" spans="2:15" ht="15.75" thickBot="1"/>
    <row r="2" spans="2:15" ht="32.25" thickTop="1">
      <c r="B2" s="89">
        <v>2011</v>
      </c>
      <c r="H2" s="273" t="s">
        <v>140</v>
      </c>
      <c r="I2" s="274"/>
      <c r="J2" s="275"/>
      <c r="M2" s="273" t="s">
        <v>141</v>
      </c>
      <c r="N2" s="274"/>
      <c r="O2" s="275"/>
    </row>
    <row r="3" spans="2:15">
      <c r="H3" s="95"/>
      <c r="I3" s="90"/>
      <c r="J3" s="96"/>
      <c r="M3" s="95"/>
      <c r="N3" s="90"/>
      <c r="O3" s="96"/>
    </row>
    <row r="4" spans="2: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>
      <c r="B5" s="117" t="s">
        <v>317</v>
      </c>
      <c r="C5" s="115" t="s">
        <v>66</v>
      </c>
      <c r="D5">
        <v>17</v>
      </c>
      <c r="E5">
        <v>17</v>
      </c>
      <c r="F5" s="88">
        <f>Tabla6[[#This Row],[Texto completo]]/Tabla6[[#This Row],[Referencias]]</f>
        <v>1</v>
      </c>
      <c r="H5" s="95" t="s">
        <v>127</v>
      </c>
      <c r="I5" s="94">
        <f>STDEV(D5:D34)</f>
        <v>15.788690845687292</v>
      </c>
      <c r="J5" s="96"/>
      <c r="M5" s="95" t="s">
        <v>138</v>
      </c>
      <c r="N5" s="94">
        <f>SUM(Tabla6[Texto completo])/SUM(Tabla6[Referencias])</f>
        <v>0.6415929203539823</v>
      </c>
      <c r="O5" s="96"/>
    </row>
    <row r="6" spans="2:15">
      <c r="B6" s="118" t="s">
        <v>318</v>
      </c>
      <c r="C6" s="115" t="s">
        <v>64</v>
      </c>
      <c r="D6">
        <v>14</v>
      </c>
      <c r="E6">
        <v>13</v>
      </c>
      <c r="F6" s="88">
        <f>Tabla6[[#This Row],[Texto completo]]/Tabla6[[#This Row],[Referencias]]</f>
        <v>0.9285714285714286</v>
      </c>
      <c r="H6" s="95"/>
      <c r="I6" s="90"/>
      <c r="J6" s="96"/>
      <c r="M6" s="95"/>
      <c r="N6" s="90"/>
      <c r="O6" s="96"/>
    </row>
    <row r="7" spans="2:15">
      <c r="B7" s="119" t="s">
        <v>319</v>
      </c>
      <c r="C7" s="115" t="s">
        <v>64</v>
      </c>
      <c r="D7">
        <v>15</v>
      </c>
      <c r="E7">
        <v>13</v>
      </c>
      <c r="F7" s="88">
        <f>Tabla6[[#This Row],[Texto completo]]/Tabla6[[#This Row],[Referencias]]</f>
        <v>0.8666666666666667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>
      <c r="B8" s="115" t="s">
        <v>320</v>
      </c>
      <c r="C8" s="115" t="s">
        <v>66</v>
      </c>
      <c r="D8">
        <v>9</v>
      </c>
      <c r="E8">
        <v>2</v>
      </c>
      <c r="F8" s="88">
        <f>Tabla6[[#This Row],[Texto completo]]/Tabla6[[#This Row],[Referencias]]</f>
        <v>0.22222222222222221</v>
      </c>
      <c r="H8" s="95"/>
      <c r="I8" s="90"/>
      <c r="J8" s="96"/>
      <c r="M8" s="95"/>
      <c r="N8" s="90"/>
      <c r="O8" s="96"/>
    </row>
    <row r="9" spans="2:15">
      <c r="B9" s="120" t="s">
        <v>321</v>
      </c>
      <c r="C9" s="115" t="s">
        <v>66</v>
      </c>
      <c r="D9">
        <v>35</v>
      </c>
      <c r="E9">
        <v>23</v>
      </c>
      <c r="F9" s="88">
        <f>Tabla6[[#This Row],[Texto completo]]/Tabla6[[#This Row],[Referencias]]</f>
        <v>0.65714285714285714</v>
      </c>
      <c r="H9" s="95" t="s">
        <v>129</v>
      </c>
      <c r="I9" s="90">
        <v>5</v>
      </c>
      <c r="J9" s="96"/>
      <c r="M9" s="95" t="s">
        <v>129</v>
      </c>
      <c r="N9" s="90">
        <v>3.5999999999999997E-2</v>
      </c>
      <c r="O9" s="96"/>
    </row>
    <row r="10" spans="2:15">
      <c r="B10" s="120" t="s">
        <v>322</v>
      </c>
      <c r="C10" s="115" t="s">
        <v>66</v>
      </c>
      <c r="D10">
        <v>5</v>
      </c>
      <c r="E10">
        <v>4</v>
      </c>
      <c r="F10" s="88">
        <f>Tabla6[[#This Row],[Texto completo]]/Tabla6[[#This Row],[Referencias]]</f>
        <v>0.8</v>
      </c>
      <c r="H10" s="95"/>
      <c r="I10" s="90"/>
      <c r="J10" s="96"/>
      <c r="M10" s="95"/>
      <c r="N10" s="90"/>
      <c r="O10" s="96"/>
    </row>
    <row r="11" spans="2:15">
      <c r="B11" s="118" t="s">
        <v>323</v>
      </c>
      <c r="C11" s="115" t="s">
        <v>64</v>
      </c>
      <c r="D11">
        <v>58</v>
      </c>
      <c r="E11">
        <v>51</v>
      </c>
      <c r="F11" s="88">
        <f>Tabla6[[#This Row],[Texto completo]]/Tabla6[[#This Row],[Referencias]]</f>
        <v>0.87931034482758619</v>
      </c>
      <c r="H11" s="95" t="s">
        <v>130</v>
      </c>
      <c r="I11" s="91">
        <f>((I7*I7)*(I5*I5))/(I9*I9)</f>
        <v>38.305785820689657</v>
      </c>
      <c r="J11" s="96"/>
      <c r="M11" s="95" t="s">
        <v>130</v>
      </c>
      <c r="N11" s="91">
        <f>((N7*N7)*N5*(1-N5))/(N9*N9)</f>
        <v>681.62150520792557</v>
      </c>
      <c r="O11" s="96"/>
    </row>
    <row r="12" spans="2:15">
      <c r="B12" s="118" t="s">
        <v>324</v>
      </c>
      <c r="C12" s="115" t="s">
        <v>66</v>
      </c>
      <c r="D12">
        <v>6</v>
      </c>
      <c r="E12">
        <v>3</v>
      </c>
      <c r="F12" s="88">
        <f>Tabla6[[#This Row],[Texto completo]]/Tabla6[[#This Row],[Referencias]]</f>
        <v>0.5</v>
      </c>
      <c r="H12" s="95"/>
      <c r="I12" s="90"/>
      <c r="J12" s="96"/>
      <c r="M12" s="95"/>
      <c r="N12" s="90"/>
      <c r="O12" s="96"/>
    </row>
    <row r="13" spans="2:15">
      <c r="B13" s="118" t="s">
        <v>325</v>
      </c>
      <c r="C13" s="115" t="s">
        <v>64</v>
      </c>
      <c r="D13">
        <v>71</v>
      </c>
      <c r="E13">
        <v>44</v>
      </c>
      <c r="F13" s="88">
        <f>Tabla6[[#This Row],[Texto completo]]/Tabla6[[#This Row],[Referencias]]</f>
        <v>0.61971830985915488</v>
      </c>
      <c r="H13" s="95"/>
      <c r="I13" s="90"/>
      <c r="J13" s="96"/>
      <c r="M13" s="95"/>
      <c r="N13" s="90"/>
      <c r="O13" s="96"/>
    </row>
    <row r="14" spans="2:15">
      <c r="B14" s="116" t="s">
        <v>326</v>
      </c>
      <c r="C14" s="116" t="s">
        <v>66</v>
      </c>
      <c r="D14">
        <v>12</v>
      </c>
      <c r="E14">
        <v>5</v>
      </c>
      <c r="F14" s="88">
        <f>Tabla6[[#This Row],[Texto completo]]/Tabla6[[#This Row],[Referencias]]</f>
        <v>0.41666666666666669</v>
      </c>
      <c r="H14" s="95"/>
      <c r="I14" s="90"/>
      <c r="J14" s="96"/>
      <c r="M14" s="95"/>
      <c r="N14" s="90"/>
      <c r="O14" s="96"/>
    </row>
    <row r="15" spans="2:15">
      <c r="B15" t="s">
        <v>327</v>
      </c>
      <c r="C15" s="121" t="s">
        <v>66</v>
      </c>
      <c r="D15">
        <v>12</v>
      </c>
      <c r="E15">
        <v>7</v>
      </c>
      <c r="F15" s="88">
        <f>Tabla6[[#This Row],[Texto completo]]/Tabla6[[#This Row],[Referencias]]</f>
        <v>0.58333333333333337</v>
      </c>
      <c r="H15" s="95"/>
      <c r="I15" s="90"/>
      <c r="J15" s="96"/>
      <c r="M15" s="95"/>
      <c r="N15" s="90"/>
      <c r="O15" s="96"/>
    </row>
    <row r="16" spans="2:15">
      <c r="B16" t="s">
        <v>328</v>
      </c>
      <c r="C16" s="121" t="s">
        <v>64</v>
      </c>
      <c r="D16">
        <v>47</v>
      </c>
      <c r="E16">
        <v>28</v>
      </c>
      <c r="F16" s="88">
        <f>Tabla6[[#This Row],[Texto completo]]/Tabla6[[#This Row],[Referencias]]</f>
        <v>0.5957446808510638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>
      <c r="B17" t="s">
        <v>329</v>
      </c>
      <c r="C17" s="122" t="s">
        <v>64</v>
      </c>
      <c r="D17">
        <v>33</v>
      </c>
      <c r="E17">
        <v>28</v>
      </c>
      <c r="F17" s="88">
        <f>Tabla6[[#This Row],[Texto completo]]/Tabla6[[#This Row],[Referencias]]</f>
        <v>0.84848484848484851</v>
      </c>
      <c r="H17" s="95" t="s">
        <v>131</v>
      </c>
      <c r="I17" s="91">
        <f>AVERAGE(Tabla6[Referencias])</f>
        <v>22.6</v>
      </c>
      <c r="J17" s="96"/>
      <c r="M17" s="95" t="s">
        <v>138</v>
      </c>
      <c r="N17" s="94">
        <f>N5</f>
        <v>0.6415929203539823</v>
      </c>
      <c r="O17" s="96"/>
    </row>
    <row r="18" spans="2:15">
      <c r="B18" t="s">
        <v>330</v>
      </c>
      <c r="C18" s="123" t="s">
        <v>64</v>
      </c>
      <c r="D18">
        <v>33</v>
      </c>
      <c r="E18">
        <v>17</v>
      </c>
      <c r="F18" s="88">
        <f>Tabla6[[#This Row],[Texto completo]]/Tabla6[[#This Row],[Referencias]]</f>
        <v>0.51515151515151514</v>
      </c>
      <c r="H18" s="95"/>
      <c r="I18" s="90"/>
      <c r="J18" s="96"/>
      <c r="M18" s="95"/>
      <c r="N18" s="90"/>
      <c r="O18" s="96"/>
    </row>
    <row r="19" spans="2:15">
      <c r="B19" t="s">
        <v>331</v>
      </c>
      <c r="C19" s="124" t="s">
        <v>64</v>
      </c>
      <c r="D19">
        <v>35</v>
      </c>
      <c r="E19">
        <v>25</v>
      </c>
      <c r="F19" s="88">
        <f>Tabla6[[#This Row],[Texto completo]]/Tabla6[[#This Row],[Referencias]]</f>
        <v>0.7142857142857143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>
      <c r="B20" t="s">
        <v>332</v>
      </c>
      <c r="C20" s="125" t="s">
        <v>64</v>
      </c>
      <c r="D20">
        <v>28</v>
      </c>
      <c r="E20">
        <v>6</v>
      </c>
      <c r="F20" s="88">
        <f>Tabla6[[#This Row],[Texto completo]]/Tabla6[[#This Row],[Referencias]]</f>
        <v>0.21428571428571427</v>
      </c>
      <c r="H20" s="95"/>
      <c r="I20" s="90"/>
      <c r="J20" s="96"/>
      <c r="M20" s="95"/>
      <c r="N20" s="90"/>
      <c r="O20" s="96"/>
    </row>
    <row r="21" spans="2:15">
      <c r="B21" s="118" t="s">
        <v>333</v>
      </c>
      <c r="C21" s="126" t="s">
        <v>66</v>
      </c>
      <c r="D21">
        <v>23</v>
      </c>
      <c r="E21">
        <v>11</v>
      </c>
      <c r="F21" s="88">
        <f>Tabla6[[#This Row],[Texto completo]]/Tabla6[[#This Row],[Referencias]]</f>
        <v>0.47826086956521741</v>
      </c>
      <c r="H21" s="95" t="s">
        <v>133</v>
      </c>
      <c r="I21" s="91">
        <f>I5/SQRT(30)</f>
        <v>2.8826073765527491</v>
      </c>
      <c r="J21" s="96"/>
      <c r="M21" s="95" t="s">
        <v>139</v>
      </c>
      <c r="N21" s="94">
        <f>SQRT($N$17*(1-$N$17)/SUM(Tabla6[Referencias]))</f>
        <v>1.8416335769219871E-2</v>
      </c>
      <c r="O21" s="96"/>
    </row>
    <row r="22" spans="2:15">
      <c r="B22" t="s">
        <v>334</v>
      </c>
      <c r="C22" s="127" t="s">
        <v>64</v>
      </c>
      <c r="D22">
        <v>17</v>
      </c>
      <c r="E22">
        <v>8</v>
      </c>
      <c r="F22" s="88">
        <f>Tabla6[[#This Row],[Texto completo]]/Tabla6[[#This Row],[Referencias]]</f>
        <v>0.47058823529411764</v>
      </c>
      <c r="H22" s="95"/>
      <c r="I22" s="90"/>
      <c r="J22" s="96"/>
      <c r="M22" s="95"/>
      <c r="N22" s="90"/>
      <c r="O22" s="96"/>
    </row>
    <row r="23" spans="2:15" ht="15.75" thickBot="1">
      <c r="B23" t="s">
        <v>335</v>
      </c>
      <c r="C23" s="128" t="s">
        <v>66</v>
      </c>
      <c r="D23">
        <v>18</v>
      </c>
      <c r="E23">
        <v>4</v>
      </c>
      <c r="F23" s="88">
        <f>Tabla6[[#This Row],[Texto completo]]/Tabla6[[#This Row],[Referencias]]</f>
        <v>0.22222222222222221</v>
      </c>
      <c r="H23" s="97" t="s">
        <v>134</v>
      </c>
      <c r="I23" s="98">
        <f>$I$17-$I$19*$I$21</f>
        <v>16.950089541956615</v>
      </c>
      <c r="J23" s="99">
        <f>$I$17+$I$19*$I$21</f>
        <v>28.249910458043388</v>
      </c>
      <c r="K23" s="92"/>
      <c r="M23" s="97" t="s">
        <v>132</v>
      </c>
      <c r="N23" s="98">
        <f>$N$17-$N$19*N21</f>
        <v>0.60549690224631136</v>
      </c>
      <c r="O23" s="99">
        <f>$N$17+$N$19*$N$21</f>
        <v>0.67768893846165323</v>
      </c>
    </row>
    <row r="24" spans="2:15" ht="15.75" thickTop="1">
      <c r="B24" t="s">
        <v>336</v>
      </c>
      <c r="C24" s="129" t="s">
        <v>66</v>
      </c>
      <c r="D24">
        <v>15</v>
      </c>
      <c r="E24">
        <v>7</v>
      </c>
      <c r="F24" s="88">
        <f>Tabla6[[#This Row],[Texto completo]]/Tabla6[[#This Row],[Referencias]]</f>
        <v>0.46666666666666667</v>
      </c>
    </row>
    <row r="25" spans="2:15">
      <c r="B25" s="140" t="s">
        <v>346</v>
      </c>
      <c r="C25" s="130" t="s">
        <v>64</v>
      </c>
      <c r="D25">
        <v>14</v>
      </c>
      <c r="E25">
        <v>11</v>
      </c>
      <c r="F25" s="88">
        <f>Tabla6[[#This Row],[Texto completo]]/Tabla6[[#This Row],[Referencias]]</f>
        <v>0.7857142857142857</v>
      </c>
    </row>
    <row r="26" spans="2:15">
      <c r="B26" t="s">
        <v>337</v>
      </c>
      <c r="C26" s="131" t="s">
        <v>66</v>
      </c>
      <c r="D26">
        <v>7</v>
      </c>
      <c r="E26">
        <v>4</v>
      </c>
      <c r="F26" s="88">
        <f>Tabla6[[#This Row],[Texto completo]]/Tabla6[[#This Row],[Referencias]]</f>
        <v>0.5714285714285714</v>
      </c>
    </row>
    <row r="27" spans="2:15">
      <c r="B27" t="s">
        <v>338</v>
      </c>
      <c r="C27" s="132" t="s">
        <v>64</v>
      </c>
      <c r="D27">
        <v>14</v>
      </c>
      <c r="E27">
        <v>6</v>
      </c>
      <c r="F27" s="88">
        <f>Tabla6[[#This Row],[Texto completo]]/Tabla6[[#This Row],[Referencias]]</f>
        <v>0.42857142857142855</v>
      </c>
    </row>
    <row r="28" spans="2:15">
      <c r="B28" t="s">
        <v>339</v>
      </c>
      <c r="C28" s="133" t="s">
        <v>66</v>
      </c>
      <c r="D28">
        <v>6</v>
      </c>
      <c r="E28">
        <v>4</v>
      </c>
      <c r="F28" s="88">
        <f>Tabla6[[#This Row],[Texto completo]]/Tabla6[[#This Row],[Referencias]]</f>
        <v>0.66666666666666663</v>
      </c>
    </row>
    <row r="29" spans="2:15">
      <c r="B29" t="s">
        <v>340</v>
      </c>
      <c r="C29" s="134" t="s">
        <v>64</v>
      </c>
      <c r="D29">
        <v>30</v>
      </c>
      <c r="E29">
        <v>24</v>
      </c>
      <c r="F29" s="88">
        <f>Tabla6[[#This Row],[Texto completo]]/Tabla6[[#This Row],[Referencias]]</f>
        <v>0.8</v>
      </c>
    </row>
    <row r="30" spans="2:15">
      <c r="B30" t="s">
        <v>341</v>
      </c>
      <c r="C30" s="135" t="s">
        <v>64</v>
      </c>
      <c r="D30">
        <v>20</v>
      </c>
      <c r="E30">
        <v>18</v>
      </c>
      <c r="F30" s="88">
        <f>Tabla6[[#This Row],[Texto completo]]/Tabla6[[#This Row],[Referencias]]</f>
        <v>0.9</v>
      </c>
    </row>
    <row r="31" spans="2:15">
      <c r="B31" t="s">
        <v>342</v>
      </c>
      <c r="C31" s="136" t="s">
        <v>64</v>
      </c>
      <c r="D31">
        <v>32</v>
      </c>
      <c r="E31">
        <v>24</v>
      </c>
      <c r="F31" s="88">
        <f>Tabla6[[#This Row],[Texto completo]]/Tabla6[[#This Row],[Referencias]]</f>
        <v>0.75</v>
      </c>
    </row>
    <row r="32" spans="2:15">
      <c r="B32" t="s">
        <v>343</v>
      </c>
      <c r="C32" s="137" t="s">
        <v>66</v>
      </c>
      <c r="D32">
        <v>4</v>
      </c>
      <c r="E32">
        <v>2</v>
      </c>
      <c r="F32" s="88">
        <f>Tabla6[[#This Row],[Texto completo]]/Tabla6[[#This Row],[Referencias]]</f>
        <v>0.5</v>
      </c>
    </row>
    <row r="33" spans="2:6">
      <c r="B33" t="s">
        <v>344</v>
      </c>
      <c r="C33" s="138" t="s">
        <v>66</v>
      </c>
      <c r="D33">
        <v>29</v>
      </c>
      <c r="E33">
        <v>16</v>
      </c>
      <c r="F33" s="88">
        <f>Tabla6[[#This Row],[Texto completo]]/Tabla6[[#This Row],[Referencias]]</f>
        <v>0.55172413793103448</v>
      </c>
    </row>
    <row r="34" spans="2:6">
      <c r="B34" t="s">
        <v>345</v>
      </c>
      <c r="C34" s="139" t="s">
        <v>64</v>
      </c>
      <c r="D34">
        <v>19</v>
      </c>
      <c r="E34">
        <v>10</v>
      </c>
      <c r="F34" s="88">
        <f>Tabla6[[#This Row],[Texto completo]]/Tabla6[[#This Row],[Referencias]]</f>
        <v>0.52631578947368418</v>
      </c>
    </row>
    <row r="35" spans="2:6">
      <c r="B35" s="90"/>
      <c r="C35" s="90"/>
      <c r="D35" s="90">
        <f>SUM(Tabla6[Referencias])</f>
        <v>678</v>
      </c>
      <c r="E35" s="90">
        <f>SUM(Tabla6[Texto completo])</f>
        <v>435</v>
      </c>
      <c r="F35" s="91">
        <f>AVERAGE(Tabla6[Porcentaje])</f>
        <v>0.6159914391960889</v>
      </c>
    </row>
  </sheetData>
  <mergeCells count="2">
    <mergeCell ref="H2:J2"/>
    <mergeCell ref="M2:O2"/>
  </mergeCells>
  <hyperlinks>
    <hyperlink ref="B5" r:id="rId1" tooltip="Show Author Details" display="http://www.scopus.com/authid/detail.url?authorId=25931018600&amp;eid=2-s2.0-84055189960"/>
    <hyperlink ref="B6" r:id="rId2" tooltip="Show Author Details" display="http://www.scopus.com/authid/detail.url?authorId=54419474900&amp;eid=2-s2.0-82955181224"/>
    <hyperlink ref="B11" r:id="rId3" tooltip="Show Author Details" display="http://www.scopus.com/authid/detail.url?authorId=27267655900&amp;eid=2-s2.0-84855284871"/>
    <hyperlink ref="B12" r:id="rId4" tooltip="Show Author Details" display="http://www.scopus.com/authid/detail.url?authorId=26665707300&amp;eid=2-s2.0-84860551619"/>
    <hyperlink ref="B13" r:id="rId5" tooltip="Show Author Details" display="http://www.scopus.com/authid/detail.url?authorId=12785047100&amp;eid=2-s2.0-84855321142"/>
    <hyperlink ref="B21" r:id="rId6" tooltip="Show Author Details" display="http://www.scopus.com/authid/detail.url?authorId=13410544200&amp;eid=2-s2.0-80052596273"/>
  </hyperlinks>
  <pageMargins left="0.7" right="0.7" top="0.75" bottom="0.75" header="0.3" footer="0.3"/>
  <pageSetup paperSize="9" orientation="portrait"/>
  <tableParts count="5">
    <tablePart r:id="rId7"/>
    <tablePart r:id="rId8"/>
    <tablePart r:id="rId9"/>
    <tablePart r:id="rId10"/>
    <tablePart r:id="rId1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5"/>
  <sheetViews>
    <sheetView workbookViewId="0">
      <selection activeCell="B25" sqref="B25:D25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6" max="6" width="22.140625" customWidth="1"/>
    <col min="8" max="8" width="9.85546875" bestFit="1" customWidth="1"/>
    <col min="9" max="10" width="3.42578125" customWidth="1"/>
    <col min="11" max="11" width="32" bestFit="1" customWidth="1"/>
  </cols>
  <sheetData>
    <row r="1" spans="1:13" ht="15.75" thickBot="1"/>
    <row r="2" spans="1:13" ht="32.25" thickTop="1">
      <c r="B2" s="89">
        <v>2011</v>
      </c>
      <c r="F2" s="273" t="s">
        <v>140</v>
      </c>
      <c r="G2" s="274"/>
      <c r="H2" s="275"/>
      <c r="K2" s="276"/>
      <c r="L2" s="276"/>
      <c r="M2" s="276"/>
    </row>
    <row r="3" spans="1:13">
      <c r="F3" s="95"/>
      <c r="G3" s="90"/>
      <c r="H3" s="96"/>
    </row>
    <row r="4" spans="1:13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13">
      <c r="A5">
        <v>1</v>
      </c>
      <c r="B5" s="117" t="s">
        <v>317</v>
      </c>
      <c r="C5" s="115" t="s">
        <v>66</v>
      </c>
      <c r="D5" s="115">
        <v>17</v>
      </c>
      <c r="F5" s="95" t="s">
        <v>127</v>
      </c>
      <c r="G5" s="94">
        <f>STDEV(D5:D34)</f>
        <v>15.788690845687292</v>
      </c>
      <c r="H5" s="96"/>
    </row>
    <row r="6" spans="1:13">
      <c r="A6">
        <v>2</v>
      </c>
      <c r="B6" s="118" t="s">
        <v>318</v>
      </c>
      <c r="C6" s="115" t="s">
        <v>64</v>
      </c>
      <c r="D6" s="115">
        <v>14</v>
      </c>
      <c r="F6" s="95"/>
      <c r="G6" s="90"/>
      <c r="H6" s="96"/>
    </row>
    <row r="7" spans="1:13">
      <c r="A7">
        <v>3</v>
      </c>
      <c r="B7" s="119" t="s">
        <v>319</v>
      </c>
      <c r="C7" s="115" t="s">
        <v>64</v>
      </c>
      <c r="D7" s="115">
        <v>15</v>
      </c>
      <c r="F7" s="95" t="s">
        <v>128</v>
      </c>
      <c r="G7" s="90">
        <v>1.96</v>
      </c>
      <c r="H7" s="96"/>
    </row>
    <row r="8" spans="1:13">
      <c r="A8">
        <v>4</v>
      </c>
      <c r="B8" s="115" t="s">
        <v>320</v>
      </c>
      <c r="C8" s="115" t="s">
        <v>66</v>
      </c>
      <c r="D8" s="115">
        <v>9</v>
      </c>
      <c r="F8" s="95"/>
      <c r="G8" s="90"/>
      <c r="H8" s="96"/>
    </row>
    <row r="9" spans="1:13">
      <c r="A9">
        <v>5</v>
      </c>
      <c r="B9" s="120" t="s">
        <v>321</v>
      </c>
      <c r="C9" s="115" t="s">
        <v>66</v>
      </c>
      <c r="D9" s="115">
        <v>35</v>
      </c>
      <c r="F9" s="95" t="s">
        <v>129</v>
      </c>
      <c r="G9" s="90">
        <v>4</v>
      </c>
      <c r="H9" s="96"/>
    </row>
    <row r="10" spans="1:13">
      <c r="A10">
        <v>6</v>
      </c>
      <c r="B10" s="120" t="s">
        <v>322</v>
      </c>
      <c r="C10" s="115" t="s">
        <v>66</v>
      </c>
      <c r="D10" s="115">
        <v>5</v>
      </c>
      <c r="F10" s="95"/>
      <c r="G10" s="90"/>
      <c r="H10" s="96"/>
    </row>
    <row r="11" spans="1:13">
      <c r="A11">
        <v>7</v>
      </c>
      <c r="B11" s="118" t="s">
        <v>323</v>
      </c>
      <c r="C11" s="115" t="s">
        <v>64</v>
      </c>
      <c r="D11" s="115">
        <v>58</v>
      </c>
      <c r="F11" s="95" t="s">
        <v>130</v>
      </c>
      <c r="G11" s="91">
        <f>((G7*G7)*(G5*G5))/(G9*G9)</f>
        <v>59.852790344827589</v>
      </c>
      <c r="H11" s="96"/>
    </row>
    <row r="12" spans="1:13">
      <c r="A12">
        <v>8</v>
      </c>
      <c r="B12" s="118" t="s">
        <v>324</v>
      </c>
      <c r="C12" s="115" t="s">
        <v>66</v>
      </c>
      <c r="D12" s="115">
        <v>6</v>
      </c>
      <c r="F12" s="95"/>
      <c r="G12" s="90"/>
      <c r="H12" s="96"/>
    </row>
    <row r="13" spans="1:13">
      <c r="A13">
        <v>9</v>
      </c>
      <c r="B13" s="118" t="s">
        <v>325</v>
      </c>
      <c r="C13" s="115" t="s">
        <v>64</v>
      </c>
      <c r="D13" s="115">
        <v>71</v>
      </c>
      <c r="F13" s="95"/>
      <c r="G13" s="90"/>
      <c r="H13" s="96"/>
    </row>
    <row r="14" spans="1:13">
      <c r="A14">
        <v>10</v>
      </c>
      <c r="B14" s="116" t="s">
        <v>326</v>
      </c>
      <c r="C14" s="116" t="s">
        <v>66</v>
      </c>
      <c r="D14" s="116">
        <v>12</v>
      </c>
      <c r="F14" s="95"/>
      <c r="G14" s="90"/>
      <c r="H14" s="96"/>
    </row>
    <row r="15" spans="1:13">
      <c r="A15">
        <v>11</v>
      </c>
      <c r="B15" t="s">
        <v>327</v>
      </c>
      <c r="C15" s="121" t="s">
        <v>66</v>
      </c>
      <c r="D15">
        <v>12</v>
      </c>
      <c r="F15" s="95"/>
      <c r="G15" s="90"/>
      <c r="H15" s="96"/>
    </row>
    <row r="16" spans="1:13">
      <c r="A16">
        <v>12</v>
      </c>
      <c r="B16" t="s">
        <v>328</v>
      </c>
      <c r="C16" s="121" t="s">
        <v>64</v>
      </c>
      <c r="D16">
        <v>47</v>
      </c>
      <c r="F16" s="95" t="s">
        <v>137</v>
      </c>
      <c r="G16" s="91" t="s">
        <v>136</v>
      </c>
      <c r="H16" s="96" t="s">
        <v>135</v>
      </c>
    </row>
    <row r="17" spans="1:9">
      <c r="A17">
        <v>13</v>
      </c>
      <c r="B17" s="122" t="s">
        <v>329</v>
      </c>
      <c r="C17" s="122" t="s">
        <v>64</v>
      </c>
      <c r="D17" s="122">
        <v>33</v>
      </c>
      <c r="F17" s="95" t="s">
        <v>131</v>
      </c>
      <c r="G17" s="91">
        <f>AVERAGE(Tabla639[Referencias])</f>
        <v>21.903225806451612</v>
      </c>
      <c r="H17" s="96"/>
    </row>
    <row r="18" spans="1:9">
      <c r="A18">
        <v>14</v>
      </c>
      <c r="B18" s="123" t="s">
        <v>330</v>
      </c>
      <c r="C18" s="123" t="s">
        <v>64</v>
      </c>
      <c r="D18" s="123">
        <v>33</v>
      </c>
      <c r="F18" s="95"/>
      <c r="G18" s="90"/>
      <c r="H18" s="96"/>
    </row>
    <row r="19" spans="1:9">
      <c r="A19">
        <v>15</v>
      </c>
      <c r="B19" s="124" t="s">
        <v>331</v>
      </c>
      <c r="C19" s="124" t="s">
        <v>64</v>
      </c>
      <c r="D19" s="124">
        <v>35</v>
      </c>
      <c r="F19" s="95" t="s">
        <v>128</v>
      </c>
      <c r="G19" s="90">
        <v>1.96</v>
      </c>
      <c r="H19" s="96"/>
    </row>
    <row r="20" spans="1:9">
      <c r="A20">
        <v>16</v>
      </c>
      <c r="B20" s="125" t="s">
        <v>332</v>
      </c>
      <c r="C20" s="125" t="s">
        <v>64</v>
      </c>
      <c r="D20" s="125">
        <v>28</v>
      </c>
      <c r="F20" s="95"/>
      <c r="G20" s="90"/>
      <c r="H20" s="96"/>
    </row>
    <row r="21" spans="1:9">
      <c r="A21">
        <v>17</v>
      </c>
      <c r="B21" s="118" t="s">
        <v>333</v>
      </c>
      <c r="C21" s="126" t="s">
        <v>66</v>
      </c>
      <c r="D21" s="126">
        <v>23</v>
      </c>
      <c r="F21" s="95" t="s">
        <v>133</v>
      </c>
      <c r="G21" s="91">
        <f>G5/SQRT(30)</f>
        <v>2.8826073765527491</v>
      </c>
      <c r="H21" s="96"/>
    </row>
    <row r="22" spans="1:9">
      <c r="A22">
        <v>18</v>
      </c>
      <c r="B22" s="127" t="s">
        <v>334</v>
      </c>
      <c r="C22" s="127" t="s">
        <v>64</v>
      </c>
      <c r="D22" s="127">
        <v>17</v>
      </c>
      <c r="F22" s="95"/>
      <c r="G22" s="90"/>
      <c r="H22" s="96"/>
    </row>
    <row r="23" spans="1:9" ht="15.75" thickBot="1">
      <c r="A23">
        <v>19</v>
      </c>
      <c r="B23" s="128" t="s">
        <v>335</v>
      </c>
      <c r="C23" s="128" t="s">
        <v>66</v>
      </c>
      <c r="D23" s="128">
        <v>18</v>
      </c>
      <c r="F23" s="97" t="s">
        <v>134</v>
      </c>
      <c r="G23" s="98">
        <f>$G$17-$G$19*$G$21</f>
        <v>16.253315348408222</v>
      </c>
      <c r="H23" s="99">
        <f>$G$17+$G$19*$G$21</f>
        <v>27.553136264495002</v>
      </c>
      <c r="I23" s="92"/>
    </row>
    <row r="24" spans="1:9" ht="15.75" thickTop="1">
      <c r="A24">
        <v>20</v>
      </c>
      <c r="B24" s="129" t="s">
        <v>336</v>
      </c>
      <c r="C24" s="129" t="s">
        <v>66</v>
      </c>
      <c r="D24" s="129">
        <v>15</v>
      </c>
    </row>
    <row r="25" spans="1:9">
      <c r="A25">
        <v>21</v>
      </c>
      <c r="B25" s="140" t="s">
        <v>346</v>
      </c>
      <c r="C25" s="140" t="s">
        <v>64</v>
      </c>
      <c r="D25" s="140">
        <v>14</v>
      </c>
    </row>
    <row r="26" spans="1:9">
      <c r="A26">
        <v>22</v>
      </c>
      <c r="B26" s="131" t="s">
        <v>337</v>
      </c>
      <c r="C26" s="131" t="s">
        <v>66</v>
      </c>
      <c r="D26" s="131">
        <v>7</v>
      </c>
    </row>
    <row r="27" spans="1:9">
      <c r="A27">
        <v>23</v>
      </c>
      <c r="B27" s="132" t="s">
        <v>338</v>
      </c>
      <c r="C27" s="132" t="s">
        <v>64</v>
      </c>
      <c r="D27" s="132">
        <v>14</v>
      </c>
    </row>
    <row r="28" spans="1:9">
      <c r="A28">
        <v>24</v>
      </c>
      <c r="B28" s="133" t="s">
        <v>339</v>
      </c>
      <c r="C28" s="133" t="s">
        <v>66</v>
      </c>
      <c r="D28" s="133">
        <v>6</v>
      </c>
    </row>
    <row r="29" spans="1:9">
      <c r="A29">
        <v>25</v>
      </c>
      <c r="B29" s="134" t="s">
        <v>340</v>
      </c>
      <c r="C29" s="134" t="s">
        <v>64</v>
      </c>
      <c r="D29" s="134">
        <v>30</v>
      </c>
    </row>
    <row r="30" spans="1:9">
      <c r="A30">
        <v>26</v>
      </c>
      <c r="B30" s="135" t="s">
        <v>341</v>
      </c>
      <c r="C30" s="135" t="s">
        <v>64</v>
      </c>
      <c r="D30" s="135">
        <v>20</v>
      </c>
    </row>
    <row r="31" spans="1:9">
      <c r="A31">
        <v>27</v>
      </c>
      <c r="B31" s="136" t="s">
        <v>342</v>
      </c>
      <c r="C31" s="136" t="s">
        <v>64</v>
      </c>
      <c r="D31" s="136">
        <v>32</v>
      </c>
    </row>
    <row r="32" spans="1:9">
      <c r="A32">
        <v>28</v>
      </c>
      <c r="B32" s="137" t="s">
        <v>343</v>
      </c>
      <c r="C32" s="137" t="s">
        <v>66</v>
      </c>
      <c r="D32" s="137">
        <v>4</v>
      </c>
    </row>
    <row r="33" spans="1:4">
      <c r="A33">
        <v>29</v>
      </c>
      <c r="B33" s="138" t="s">
        <v>344</v>
      </c>
      <c r="C33" s="138" t="s">
        <v>66</v>
      </c>
      <c r="D33" s="138">
        <v>29</v>
      </c>
    </row>
    <row r="34" spans="1:4">
      <c r="A34">
        <v>30</v>
      </c>
      <c r="B34" s="139" t="s">
        <v>345</v>
      </c>
      <c r="C34" s="139" t="s">
        <v>64</v>
      </c>
      <c r="D34" s="139">
        <v>19</v>
      </c>
    </row>
    <row r="35" spans="1:4">
      <c r="A35">
        <v>31</v>
      </c>
      <c r="D35">
        <v>1</v>
      </c>
    </row>
    <row r="36" spans="1:4">
      <c r="A36">
        <v>32</v>
      </c>
    </row>
    <row r="37" spans="1:4">
      <c r="A37">
        <v>33</v>
      </c>
    </row>
    <row r="38" spans="1:4">
      <c r="A38">
        <v>34</v>
      </c>
    </row>
    <row r="39" spans="1:4">
      <c r="A39">
        <v>35</v>
      </c>
    </row>
    <row r="40" spans="1:4">
      <c r="A40">
        <v>36</v>
      </c>
    </row>
    <row r="41" spans="1:4">
      <c r="A41">
        <v>37</v>
      </c>
    </row>
    <row r="42" spans="1:4">
      <c r="A42">
        <v>38</v>
      </c>
    </row>
    <row r="43" spans="1:4">
      <c r="A43">
        <v>39</v>
      </c>
    </row>
    <row r="44" spans="1:4">
      <c r="A44">
        <v>40</v>
      </c>
    </row>
    <row r="45" spans="1:4">
      <c r="A45">
        <v>41</v>
      </c>
    </row>
    <row r="46" spans="1:4">
      <c r="A46">
        <v>42</v>
      </c>
    </row>
    <row r="47" spans="1:4">
      <c r="A47">
        <v>43</v>
      </c>
    </row>
    <row r="48" spans="1:4">
      <c r="A48">
        <v>44</v>
      </c>
    </row>
    <row r="49" spans="1:1">
      <c r="A49">
        <v>45</v>
      </c>
    </row>
    <row r="50" spans="1:1">
      <c r="A50">
        <v>46</v>
      </c>
    </row>
    <row r="51" spans="1:1">
      <c r="A51">
        <v>47</v>
      </c>
    </row>
    <row r="52" spans="1:1">
      <c r="A52">
        <v>48</v>
      </c>
    </row>
    <row r="53" spans="1:1">
      <c r="A53">
        <v>49</v>
      </c>
    </row>
    <row r="54" spans="1:1">
      <c r="A54">
        <v>50</v>
      </c>
    </row>
    <row r="55" spans="1:1">
      <c r="A55">
        <v>51</v>
      </c>
    </row>
    <row r="56" spans="1:1">
      <c r="A56">
        <v>52</v>
      </c>
    </row>
    <row r="57" spans="1:1">
      <c r="A57">
        <v>53</v>
      </c>
    </row>
    <row r="58" spans="1:1">
      <c r="A58">
        <v>54</v>
      </c>
    </row>
    <row r="59" spans="1:1">
      <c r="A59">
        <v>55</v>
      </c>
    </row>
    <row r="60" spans="1:1">
      <c r="A60">
        <v>56</v>
      </c>
    </row>
    <row r="61" spans="1:1">
      <c r="A61">
        <v>57</v>
      </c>
    </row>
    <row r="62" spans="1:1">
      <c r="A62">
        <v>58</v>
      </c>
    </row>
    <row r="63" spans="1:1">
      <c r="A63">
        <v>59</v>
      </c>
    </row>
    <row r="64" spans="1:1">
      <c r="A64">
        <v>60</v>
      </c>
    </row>
    <row r="65" spans="1:1">
      <c r="A65">
        <v>61</v>
      </c>
    </row>
    <row r="66" spans="1:1">
      <c r="A66">
        <v>62</v>
      </c>
    </row>
    <row r="67" spans="1:1">
      <c r="A67">
        <v>63</v>
      </c>
    </row>
    <row r="68" spans="1:1">
      <c r="A68">
        <v>64</v>
      </c>
    </row>
    <row r="69" spans="1:1">
      <c r="A69">
        <v>65</v>
      </c>
    </row>
    <row r="70" spans="1:1">
      <c r="A70">
        <v>66</v>
      </c>
    </row>
    <row r="71" spans="1:1">
      <c r="A71">
        <v>67</v>
      </c>
    </row>
    <row r="72" spans="1:1">
      <c r="A72">
        <v>68</v>
      </c>
    </row>
    <row r="73" spans="1:1">
      <c r="A73">
        <v>69</v>
      </c>
    </row>
    <row r="74" spans="1:1">
      <c r="A74">
        <v>70</v>
      </c>
    </row>
    <row r="75" spans="1:1">
      <c r="A75">
        <v>71</v>
      </c>
    </row>
    <row r="76" spans="1:1">
      <c r="A76">
        <v>72</v>
      </c>
    </row>
    <row r="77" spans="1:1">
      <c r="A77">
        <v>73</v>
      </c>
    </row>
    <row r="78" spans="1:1">
      <c r="A78">
        <v>74</v>
      </c>
    </row>
    <row r="79" spans="1:1">
      <c r="A79">
        <v>75</v>
      </c>
    </row>
    <row r="80" spans="1:1">
      <c r="A80">
        <v>76</v>
      </c>
    </row>
    <row r="81" spans="1:1">
      <c r="A81">
        <v>77</v>
      </c>
    </row>
    <row r="82" spans="1:1">
      <c r="A82">
        <v>78</v>
      </c>
    </row>
    <row r="83" spans="1:1">
      <c r="A83">
        <v>79</v>
      </c>
    </row>
    <row r="84" spans="1:1">
      <c r="A84">
        <v>80</v>
      </c>
    </row>
    <row r="85" spans="1:1">
      <c r="A85">
        <v>81</v>
      </c>
    </row>
    <row r="86" spans="1:1">
      <c r="A86">
        <v>82</v>
      </c>
    </row>
    <row r="87" spans="1:1">
      <c r="A87">
        <v>83</v>
      </c>
    </row>
    <row r="88" spans="1:1">
      <c r="A88">
        <v>84</v>
      </c>
    </row>
    <row r="89" spans="1:1">
      <c r="A89">
        <v>85</v>
      </c>
    </row>
    <row r="90" spans="1:1">
      <c r="A90">
        <v>86</v>
      </c>
    </row>
    <row r="91" spans="1:1">
      <c r="A91">
        <v>87</v>
      </c>
    </row>
    <row r="92" spans="1:1">
      <c r="A92">
        <v>88</v>
      </c>
    </row>
    <row r="93" spans="1:1">
      <c r="A93">
        <v>89</v>
      </c>
    </row>
    <row r="94" spans="1:1">
      <c r="A94">
        <v>90</v>
      </c>
    </row>
    <row r="95" spans="1:1">
      <c r="A95">
        <v>91</v>
      </c>
    </row>
  </sheetData>
  <mergeCells count="2">
    <mergeCell ref="F2:H2"/>
    <mergeCell ref="K2:M2"/>
  </mergeCells>
  <hyperlinks>
    <hyperlink ref="B5" r:id="rId1" tooltip="Show Author Details" display="http://www.scopus.com/authid/detail.url?authorId=25931018600&amp;eid=2-s2.0-84055189960"/>
    <hyperlink ref="B6" r:id="rId2" tooltip="Show Author Details" display="http://www.scopus.com/authid/detail.url?authorId=54419474900&amp;eid=2-s2.0-82955181224"/>
    <hyperlink ref="B11" r:id="rId3" tooltip="Show Author Details" display="http://www.scopus.com/authid/detail.url?authorId=27267655900&amp;eid=2-s2.0-84855284871"/>
    <hyperlink ref="B12" r:id="rId4" tooltip="Show Author Details" display="http://www.scopus.com/authid/detail.url?authorId=26665707300&amp;eid=2-s2.0-84860551619"/>
    <hyperlink ref="B13" r:id="rId5" tooltip="Show Author Details" display="http://www.scopus.com/authid/detail.url?authorId=12785047100&amp;eid=2-s2.0-84855321142"/>
    <hyperlink ref="B21" r:id="rId6" tooltip="Show Author Details" display="http://www.scopus.com/authid/detail.url?authorId=13410544200&amp;eid=2-s2.0-80052596273"/>
  </hyperlinks>
  <pageMargins left="0.7" right="0.7" top="0.75" bottom="0.75" header="0.3" footer="0.3"/>
  <pageSetup paperSize="9" orientation="portrait"/>
  <legacyDrawing r:id="rId7"/>
  <tableParts count="3">
    <tablePart r:id="rId8"/>
    <tablePart r:id="rId9"/>
    <tablePart r:id="rId10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E10" sqref="E10"/>
    </sheetView>
  </sheetViews>
  <sheetFormatPr baseColWidth="10" defaultRowHeight="15"/>
  <cols>
    <col min="1" max="1" width="11.42578125" style="236"/>
    <col min="2" max="2" width="25" style="236" bestFit="1" customWidth="1"/>
    <col min="3" max="3" width="17" style="236" bestFit="1" customWidth="1"/>
    <col min="4" max="4" width="13.42578125" style="236" customWidth="1"/>
    <col min="5" max="5" width="17" style="236" customWidth="1"/>
    <col min="6" max="6" width="11.42578125" style="236" bestFit="1" customWidth="1"/>
    <col min="7" max="7" width="11.42578125" style="236"/>
    <col min="8" max="8" width="22.140625" style="236" customWidth="1"/>
    <col min="9" max="9" width="11.42578125" style="236"/>
    <col min="10" max="10" width="9.85546875" style="236" bestFit="1" customWidth="1"/>
    <col min="11" max="12" width="3.42578125" style="236" customWidth="1"/>
    <col min="13" max="13" width="32" style="236" bestFit="1" customWidth="1"/>
    <col min="14" max="16384" width="11.42578125" style="236"/>
  </cols>
  <sheetData>
    <row r="1" spans="2:15" ht="15.75" thickBot="1"/>
    <row r="2" spans="2:15" ht="32.25" thickTop="1">
      <c r="B2" s="89">
        <v>2012</v>
      </c>
      <c r="H2" s="273" t="s">
        <v>140</v>
      </c>
      <c r="I2" s="274"/>
      <c r="J2" s="275"/>
      <c r="M2" s="273" t="s">
        <v>141</v>
      </c>
      <c r="N2" s="274"/>
      <c r="O2" s="275"/>
    </row>
    <row r="3" spans="2:15">
      <c r="H3" s="95"/>
      <c r="I3" s="90"/>
      <c r="J3" s="96"/>
      <c r="M3" s="95"/>
      <c r="N3" s="90"/>
      <c r="O3" s="96"/>
    </row>
    <row r="4" spans="2: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>
      <c r="B5" t="s">
        <v>406</v>
      </c>
      <c r="C5" s="236" t="s">
        <v>66</v>
      </c>
      <c r="D5" s="236">
        <v>28</v>
      </c>
      <c r="E5" s="236">
        <v>22</v>
      </c>
      <c r="F5" s="88">
        <f>Tabla647[[#This Row],[Texto completo]]/Tabla647[[#This Row],[Referencias]]</f>
        <v>0.7857142857142857</v>
      </c>
      <c r="H5" s="95" t="s">
        <v>127</v>
      </c>
      <c r="I5" s="94">
        <f>STDEV(D5:D34)</f>
        <v>12.189877089137358</v>
      </c>
      <c r="J5" s="96"/>
      <c r="M5" s="95" t="s">
        <v>138</v>
      </c>
      <c r="N5" s="94">
        <f>SUM(Tabla647[Texto completo])/SUM(Tabla647[Referencias])</f>
        <v>0.56060606060606055</v>
      </c>
      <c r="O5" s="96"/>
    </row>
    <row r="6" spans="2:15">
      <c r="B6" s="118" t="s">
        <v>407</v>
      </c>
      <c r="C6" s="236" t="s">
        <v>64</v>
      </c>
      <c r="D6" s="236">
        <v>28</v>
      </c>
      <c r="E6" s="236">
        <v>10</v>
      </c>
      <c r="F6" s="88">
        <f>Tabla647[[#This Row],[Texto completo]]/Tabla647[[#This Row],[Referencias]]</f>
        <v>0.35714285714285715</v>
      </c>
      <c r="H6" s="95"/>
      <c r="I6" s="90"/>
      <c r="J6" s="96"/>
      <c r="M6" s="95"/>
      <c r="N6" s="90"/>
      <c r="O6" s="96"/>
    </row>
    <row r="7" spans="2:15">
      <c r="B7" t="s">
        <v>408</v>
      </c>
      <c r="C7" s="236" t="s">
        <v>64</v>
      </c>
      <c r="D7" s="236">
        <v>37</v>
      </c>
      <c r="E7" s="236">
        <v>32</v>
      </c>
      <c r="F7" s="88">
        <f>Tabla647[[#This Row],[Texto completo]]/Tabla647[[#This Row],[Referencias]]</f>
        <v>0.86486486486486491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>
      <c r="B8" t="s">
        <v>409</v>
      </c>
      <c r="C8" s="236" t="s">
        <v>64</v>
      </c>
      <c r="D8" s="236">
        <v>46</v>
      </c>
      <c r="E8" s="236">
        <v>23</v>
      </c>
      <c r="F8" s="88">
        <f>Tabla647[[#This Row],[Texto completo]]/Tabla647[[#This Row],[Referencias]]</f>
        <v>0.5</v>
      </c>
      <c r="H8" s="95"/>
      <c r="I8" s="90"/>
      <c r="J8" s="96"/>
      <c r="M8" s="95"/>
      <c r="N8" s="90"/>
      <c r="O8" s="96"/>
    </row>
    <row r="9" spans="2:15">
      <c r="B9" t="s">
        <v>410</v>
      </c>
      <c r="C9" s="236" t="s">
        <v>64</v>
      </c>
      <c r="D9" s="236">
        <v>64</v>
      </c>
      <c r="E9" s="236">
        <v>51</v>
      </c>
      <c r="F9" s="88">
        <f>Tabla647[[#This Row],[Texto completo]]/Tabla647[[#This Row],[Referencias]]</f>
        <v>0.796875</v>
      </c>
      <c r="H9" s="95" t="s">
        <v>129</v>
      </c>
      <c r="I9" s="90">
        <v>5</v>
      </c>
      <c r="J9" s="96"/>
      <c r="M9" s="95" t="s">
        <v>129</v>
      </c>
      <c r="N9" s="90">
        <v>3.5999999999999997E-2</v>
      </c>
      <c r="O9" s="96"/>
    </row>
    <row r="10" spans="2:15">
      <c r="B10" t="s">
        <v>411</v>
      </c>
      <c r="C10" s="236" t="s">
        <v>66</v>
      </c>
      <c r="D10" s="236">
        <v>37</v>
      </c>
      <c r="E10" s="236">
        <v>4</v>
      </c>
      <c r="F10" s="88">
        <f>Tabla647[[#This Row],[Texto completo]]/Tabla647[[#This Row],[Referencias]]</f>
        <v>0.10810810810810811</v>
      </c>
      <c r="H10" s="95"/>
      <c r="I10" s="90"/>
      <c r="J10" s="96"/>
      <c r="M10" s="95"/>
      <c r="N10" s="90"/>
      <c r="O10" s="96"/>
    </row>
    <row r="11" spans="2:15">
      <c r="B11" t="s">
        <v>412</v>
      </c>
      <c r="C11" s="236" t="s">
        <v>66</v>
      </c>
      <c r="D11" s="236">
        <v>7</v>
      </c>
      <c r="E11" s="236">
        <v>1</v>
      </c>
      <c r="F11" s="88">
        <f>Tabla647[[#This Row],[Texto completo]]/Tabla647[[#This Row],[Referencias]]</f>
        <v>0.14285714285714285</v>
      </c>
      <c r="H11" s="95" t="s">
        <v>130</v>
      </c>
      <c r="I11" s="91">
        <f>((I7*I7)*(I5*I5))/(I9*I9)</f>
        <v>22.833410648275859</v>
      </c>
      <c r="J11" s="96"/>
      <c r="M11" s="95" t="s">
        <v>130</v>
      </c>
      <c r="N11" s="91">
        <f>((N7*N7)*N5*(1-N5))/(N9*N9)</f>
        <v>730.16160482490454</v>
      </c>
      <c r="O11" s="96"/>
    </row>
    <row r="12" spans="2:15">
      <c r="B12" t="s">
        <v>413</v>
      </c>
      <c r="C12" s="236" t="s">
        <v>64</v>
      </c>
      <c r="D12" s="236">
        <v>35</v>
      </c>
      <c r="E12" s="236">
        <v>16</v>
      </c>
      <c r="F12" s="88">
        <f>Tabla647[[#This Row],[Texto completo]]/Tabla647[[#This Row],[Referencias]]</f>
        <v>0.45714285714285713</v>
      </c>
      <c r="H12" s="95"/>
      <c r="I12" s="90"/>
      <c r="J12" s="96"/>
      <c r="M12" s="95"/>
      <c r="N12" s="90"/>
      <c r="O12" s="96"/>
    </row>
    <row r="13" spans="2:15">
      <c r="B13" t="s">
        <v>414</v>
      </c>
      <c r="C13" s="236" t="s">
        <v>66</v>
      </c>
      <c r="D13" s="236">
        <v>11</v>
      </c>
      <c r="E13" s="236">
        <v>9</v>
      </c>
      <c r="F13" s="88">
        <f>Tabla647[[#This Row],[Texto completo]]/Tabla647[[#This Row],[Referencias]]</f>
        <v>0.81818181818181823</v>
      </c>
      <c r="H13" s="95"/>
      <c r="I13" s="90"/>
      <c r="J13" s="96"/>
      <c r="M13" s="95"/>
      <c r="N13" s="90"/>
      <c r="O13" s="96"/>
    </row>
    <row r="14" spans="2:15">
      <c r="B14" t="s">
        <v>415</v>
      </c>
      <c r="C14" s="236" t="s">
        <v>64</v>
      </c>
      <c r="D14" s="236">
        <v>41</v>
      </c>
      <c r="E14" s="236">
        <v>33</v>
      </c>
      <c r="F14" s="88">
        <f>Tabla647[[#This Row],[Texto completo]]/Tabla647[[#This Row],[Referencias]]</f>
        <v>0.80487804878048785</v>
      </c>
      <c r="H14" s="95"/>
      <c r="I14" s="90"/>
      <c r="J14" s="96"/>
      <c r="M14" s="95"/>
      <c r="N14" s="90"/>
      <c r="O14" s="96"/>
    </row>
    <row r="15" spans="2:15">
      <c r="B15" t="s">
        <v>416</v>
      </c>
      <c r="C15" s="236" t="s">
        <v>66</v>
      </c>
      <c r="D15" s="236">
        <v>30</v>
      </c>
      <c r="E15" s="236">
        <v>12</v>
      </c>
      <c r="F15" s="88">
        <f>Tabla647[[#This Row],[Texto completo]]/Tabla647[[#This Row],[Referencias]]</f>
        <v>0.4</v>
      </c>
      <c r="H15" s="95"/>
      <c r="I15" s="90"/>
      <c r="J15" s="96"/>
      <c r="M15" s="95"/>
      <c r="N15" s="90"/>
      <c r="O15" s="96"/>
    </row>
    <row r="16" spans="2:15">
      <c r="B16" t="s">
        <v>417</v>
      </c>
      <c r="C16" s="236" t="s">
        <v>64</v>
      </c>
      <c r="D16" s="236">
        <v>35</v>
      </c>
      <c r="E16" s="236">
        <v>14</v>
      </c>
      <c r="F16" s="88">
        <f>Tabla647[[#This Row],[Texto completo]]/Tabla647[[#This Row],[Referencias]]</f>
        <v>0.4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>
      <c r="B17" t="s">
        <v>418</v>
      </c>
      <c r="C17" s="236" t="s">
        <v>64</v>
      </c>
      <c r="D17" s="236">
        <v>36</v>
      </c>
      <c r="E17" s="236">
        <v>30</v>
      </c>
      <c r="F17" s="88">
        <f>Tabla647[[#This Row],[Texto completo]]/Tabla647[[#This Row],[Referencias]]</f>
        <v>0.83333333333333337</v>
      </c>
      <c r="H17" s="95" t="s">
        <v>131</v>
      </c>
      <c r="I17" s="91">
        <f>AVERAGE(Tabla647[Referencias])</f>
        <v>28.6</v>
      </c>
      <c r="J17" s="96"/>
      <c r="M17" s="95" t="s">
        <v>138</v>
      </c>
      <c r="N17" s="94">
        <f>N5</f>
        <v>0.56060606060606055</v>
      </c>
      <c r="O17" s="96"/>
    </row>
    <row r="18" spans="2:15">
      <c r="B18" t="s">
        <v>419</v>
      </c>
      <c r="C18" s="236" t="s">
        <v>64</v>
      </c>
      <c r="D18" s="236">
        <v>25</v>
      </c>
      <c r="E18" s="236">
        <v>6</v>
      </c>
      <c r="F18" s="88">
        <f>Tabla647[[#This Row],[Texto completo]]/Tabla647[[#This Row],[Referencias]]</f>
        <v>0.24</v>
      </c>
      <c r="H18" s="95"/>
      <c r="I18" s="90"/>
      <c r="J18" s="96"/>
      <c r="M18" s="95"/>
      <c r="N18" s="90"/>
      <c r="O18" s="96"/>
    </row>
    <row r="19" spans="2:15">
      <c r="B19" s="118" t="s">
        <v>420</v>
      </c>
      <c r="C19" s="236" t="s">
        <v>66</v>
      </c>
      <c r="D19" s="236">
        <v>17</v>
      </c>
      <c r="E19" s="236">
        <v>9</v>
      </c>
      <c r="F19" s="88">
        <f>Tabla647[[#This Row],[Texto completo]]/Tabla647[[#This Row],[Referencias]]</f>
        <v>0.52941176470588236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>
      <c r="B20" t="s">
        <v>421</v>
      </c>
      <c r="C20" s="236" t="s">
        <v>66</v>
      </c>
      <c r="D20" s="236">
        <v>23</v>
      </c>
      <c r="E20" s="236">
        <v>16</v>
      </c>
      <c r="F20" s="88">
        <f>Tabla647[[#This Row],[Texto completo]]/Tabla647[[#This Row],[Referencias]]</f>
        <v>0.69565217391304346</v>
      </c>
      <c r="H20" s="95"/>
      <c r="I20" s="90"/>
      <c r="J20" s="96"/>
      <c r="M20" s="95"/>
      <c r="N20" s="90"/>
      <c r="O20" s="96"/>
    </row>
    <row r="21" spans="2:15">
      <c r="B21" t="s">
        <v>422</v>
      </c>
      <c r="C21" s="236" t="s">
        <v>66</v>
      </c>
      <c r="D21" s="236">
        <v>15</v>
      </c>
      <c r="E21" s="236">
        <v>10</v>
      </c>
      <c r="F21" s="88">
        <f>Tabla647[[#This Row],[Texto completo]]/Tabla647[[#This Row],[Referencias]]</f>
        <v>0.66666666666666663</v>
      </c>
      <c r="H21" s="95" t="s">
        <v>133</v>
      </c>
      <c r="I21" s="91">
        <f>I5/SQRT(30)</f>
        <v>2.2255568849786478</v>
      </c>
      <c r="J21" s="96"/>
      <c r="M21" s="95" t="s">
        <v>139</v>
      </c>
      <c r="N21" s="94">
        <f>SQRT($N$17*(1-$N$17)/SUM(Tabla647[Referencias]))</f>
        <v>1.694385715705719E-2</v>
      </c>
      <c r="O21" s="96"/>
    </row>
    <row r="22" spans="2:15">
      <c r="B22" t="s">
        <v>423</v>
      </c>
      <c r="C22" s="236" t="s">
        <v>64</v>
      </c>
      <c r="D22" s="236">
        <v>34</v>
      </c>
      <c r="E22" s="236">
        <v>17</v>
      </c>
      <c r="F22" s="88">
        <f>Tabla647[[#This Row],[Texto completo]]/Tabla647[[#This Row],[Referencias]]</f>
        <v>0.5</v>
      </c>
      <c r="H22" s="95"/>
      <c r="I22" s="90"/>
      <c r="J22" s="96"/>
      <c r="M22" s="95"/>
      <c r="N22" s="90"/>
      <c r="O22" s="96"/>
    </row>
    <row r="23" spans="2:15" ht="15.75" thickBot="1">
      <c r="B23" s="118" t="s">
        <v>424</v>
      </c>
      <c r="C23" s="236" t="s">
        <v>64</v>
      </c>
      <c r="D23" s="236">
        <v>39</v>
      </c>
      <c r="E23" s="236">
        <v>26</v>
      </c>
      <c r="F23" s="88">
        <f>Tabla647[[#This Row],[Texto completo]]/Tabla647[[#This Row],[Referencias]]</f>
        <v>0.66666666666666663</v>
      </c>
      <c r="H23" s="97" t="s">
        <v>134</v>
      </c>
      <c r="I23" s="98">
        <f>$I$17-$I$19*$I$21</f>
        <v>24.237908505441851</v>
      </c>
      <c r="J23" s="99">
        <f>$I$17+$I$19*$I$21</f>
        <v>32.962091494558152</v>
      </c>
      <c r="K23" s="92"/>
      <c r="M23" s="97" t="s">
        <v>132</v>
      </c>
      <c r="N23" s="98">
        <f>$N$17-$N$19*N21</f>
        <v>0.5273961005782285</v>
      </c>
      <c r="O23" s="99">
        <f>$N$17+$N$19*$N$21</f>
        <v>0.59381602063389261</v>
      </c>
    </row>
    <row r="24" spans="2:15" ht="15.75" thickTop="1">
      <c r="B24" t="s">
        <v>425</v>
      </c>
      <c r="C24" s="236" t="s">
        <v>64</v>
      </c>
      <c r="D24" s="236">
        <v>29</v>
      </c>
      <c r="E24" s="236">
        <v>7</v>
      </c>
      <c r="F24" s="88">
        <f>Tabla647[[#This Row],[Texto completo]]/Tabla647[[#This Row],[Referencias]]</f>
        <v>0.2413793103448276</v>
      </c>
    </row>
    <row r="25" spans="2:15">
      <c r="B25" t="s">
        <v>426</v>
      </c>
      <c r="C25" s="236" t="s">
        <v>64</v>
      </c>
      <c r="D25" s="236">
        <v>28</v>
      </c>
      <c r="E25" s="236">
        <v>17</v>
      </c>
      <c r="F25" s="88">
        <f>Tabla647[[#This Row],[Texto completo]]/Tabla647[[#This Row],[Referencias]]</f>
        <v>0.6071428571428571</v>
      </c>
    </row>
    <row r="26" spans="2:15">
      <c r="B26" t="s">
        <v>427</v>
      </c>
      <c r="C26" s="236" t="s">
        <v>66</v>
      </c>
      <c r="D26" s="236">
        <v>21</v>
      </c>
      <c r="E26" s="236">
        <v>8</v>
      </c>
      <c r="F26" s="88">
        <f>Tabla647[[#This Row],[Texto completo]]/Tabla647[[#This Row],[Referencias]]</f>
        <v>0.38095238095238093</v>
      </c>
    </row>
    <row r="27" spans="2:15">
      <c r="B27" s="118" t="s">
        <v>428</v>
      </c>
      <c r="C27" s="236" t="s">
        <v>64</v>
      </c>
      <c r="D27" s="236">
        <v>15</v>
      </c>
      <c r="E27" s="236">
        <v>2</v>
      </c>
      <c r="F27" s="88">
        <f>Tabla647[[#This Row],[Texto completo]]/Tabla647[[#This Row],[Referencias]]</f>
        <v>0.13333333333333333</v>
      </c>
    </row>
    <row r="28" spans="2:15">
      <c r="B28" t="s">
        <v>429</v>
      </c>
      <c r="C28" s="236" t="s">
        <v>64</v>
      </c>
      <c r="D28" s="236">
        <v>30</v>
      </c>
      <c r="E28" s="236">
        <v>5</v>
      </c>
      <c r="F28" s="88">
        <f>Tabla647[[#This Row],[Texto completo]]/Tabla647[[#This Row],[Referencias]]</f>
        <v>0.16666666666666666</v>
      </c>
    </row>
    <row r="29" spans="2:15">
      <c r="B29" t="s">
        <v>430</v>
      </c>
      <c r="C29" s="236" t="s">
        <v>64</v>
      </c>
      <c r="D29" s="236">
        <v>32</v>
      </c>
      <c r="E29" s="236">
        <v>26</v>
      </c>
      <c r="F29" s="88">
        <f>Tabla647[[#This Row],[Texto completo]]/Tabla647[[#This Row],[Referencias]]</f>
        <v>0.8125</v>
      </c>
    </row>
    <row r="30" spans="2:15">
      <c r="B30" t="s">
        <v>431</v>
      </c>
      <c r="C30" s="236" t="s">
        <v>64</v>
      </c>
      <c r="D30" s="236">
        <v>18</v>
      </c>
      <c r="E30" s="236">
        <v>15</v>
      </c>
      <c r="F30" s="88">
        <f>Tabla647[[#This Row],[Texto completo]]/Tabla647[[#This Row],[Referencias]]</f>
        <v>0.83333333333333337</v>
      </c>
    </row>
    <row r="31" spans="2:15">
      <c r="B31" t="s">
        <v>432</v>
      </c>
      <c r="C31" s="236" t="s">
        <v>64</v>
      </c>
      <c r="D31" s="236">
        <v>40</v>
      </c>
      <c r="E31" s="236">
        <v>21</v>
      </c>
      <c r="F31" s="88">
        <f>Tabla647[[#This Row],[Texto completo]]/Tabla647[[#This Row],[Referencias]]</f>
        <v>0.52500000000000002</v>
      </c>
    </row>
    <row r="32" spans="2:15">
      <c r="B32" t="s">
        <v>433</v>
      </c>
      <c r="C32" s="236" t="s">
        <v>64</v>
      </c>
      <c r="D32" s="236">
        <v>18</v>
      </c>
      <c r="E32" s="236">
        <v>8</v>
      </c>
      <c r="F32" s="88">
        <f>Tabla647[[#This Row],[Texto completo]]/Tabla647[[#This Row],[Referencias]]</f>
        <v>0.44444444444444442</v>
      </c>
    </row>
    <row r="33" spans="2:6">
      <c r="B33" t="s">
        <v>434</v>
      </c>
      <c r="C33" s="236" t="s">
        <v>64</v>
      </c>
      <c r="D33" s="236">
        <v>31</v>
      </c>
      <c r="E33" s="236">
        <v>24</v>
      </c>
      <c r="F33" s="88">
        <f>Tabla647[[#This Row],[Texto completo]]/Tabla647[[#This Row],[Referencias]]</f>
        <v>0.77419354838709675</v>
      </c>
    </row>
    <row r="34" spans="2:6">
      <c r="B34" t="s">
        <v>435</v>
      </c>
      <c r="C34" s="236" t="s">
        <v>64</v>
      </c>
      <c r="D34" s="236">
        <v>8</v>
      </c>
      <c r="E34" s="236">
        <v>7</v>
      </c>
      <c r="F34" s="88">
        <f>Tabla647[[#This Row],[Texto completo]]/Tabla647[[#This Row],[Referencias]]</f>
        <v>0.875</v>
      </c>
    </row>
    <row r="35" spans="2:6">
      <c r="B35" s="90"/>
      <c r="C35" s="90"/>
      <c r="D35" s="90">
        <f>SUM(Tabla647[Referencias])</f>
        <v>858</v>
      </c>
      <c r="E35" s="90">
        <f>SUM(Tabla647[Texto completo])</f>
        <v>481</v>
      </c>
      <c r="F35" s="91">
        <f>AVERAGE(Tabla647[Porcentaje])</f>
        <v>0.54538138208943177</v>
      </c>
    </row>
  </sheetData>
  <mergeCells count="2">
    <mergeCell ref="H2:J2"/>
    <mergeCell ref="M2:O2"/>
  </mergeCells>
  <hyperlinks>
    <hyperlink ref="B6" r:id="rId1"/>
    <hyperlink ref="B19" r:id="rId2"/>
    <hyperlink ref="B23" r:id="rId3"/>
    <hyperlink ref="B27" r:id="rId4"/>
  </hyperlinks>
  <pageMargins left="0.7" right="0.7" top="0.75" bottom="0.75" header="0.3" footer="0.3"/>
  <pageSetup paperSize="9" orientation="portrait"/>
  <tableParts count="5">
    <tablePart r:id="rId5"/>
    <tablePart r:id="rId6"/>
    <tablePart r:id="rId7"/>
    <tablePart r:id="rId8"/>
    <tablePart r:id="rId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3"/>
  <sheetViews>
    <sheetView tabSelected="1" topLeftCell="A16" workbookViewId="0">
      <selection activeCell="B117" sqref="B117"/>
    </sheetView>
  </sheetViews>
  <sheetFormatPr baseColWidth="10" defaultRowHeight="15"/>
  <cols>
    <col min="2" max="2" width="27" customWidth="1"/>
    <col min="3" max="3" width="14.140625" customWidth="1"/>
    <col min="4" max="4" width="13.140625" bestFit="1" customWidth="1"/>
    <col min="5" max="5" width="12.5703125" customWidth="1"/>
    <col min="8" max="8" width="14.5703125" customWidth="1"/>
    <col min="9" max="9" width="13.28515625" customWidth="1"/>
    <col min="12" max="12" width="11.42578125" customWidth="1"/>
    <col min="13" max="13" width="12.85546875" customWidth="1"/>
    <col min="15" max="15" width="24" customWidth="1"/>
  </cols>
  <sheetData>
    <row r="2" spans="2:14" ht="23.25">
      <c r="B2" s="2" t="s">
        <v>35</v>
      </c>
      <c r="C2" s="141"/>
      <c r="D2" s="141"/>
      <c r="E2" s="141"/>
      <c r="F2" s="141"/>
    </row>
    <row r="3" spans="2:14">
      <c r="B3" s="141"/>
      <c r="C3" s="141"/>
      <c r="D3" s="141"/>
      <c r="E3" s="141"/>
      <c r="F3" s="141"/>
    </row>
    <row r="4" spans="2:14">
      <c r="B4" s="13" t="s">
        <v>34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 t="s">
        <v>8</v>
      </c>
      <c r="K4" s="14" t="s">
        <v>9</v>
      </c>
      <c r="L4" s="14" t="s">
        <v>10</v>
      </c>
      <c r="M4" s="15" t="s">
        <v>11</v>
      </c>
      <c r="N4" s="15" t="s">
        <v>397</v>
      </c>
    </row>
    <row r="5" spans="2:14">
      <c r="B5" s="16" t="s">
        <v>2</v>
      </c>
      <c r="C5" s="17">
        <f>Presupuesto!C5</f>
        <v>1282269</v>
      </c>
      <c r="D5" s="17">
        <f>Presupuesto!D5</f>
        <v>1017736</v>
      </c>
      <c r="E5" s="17">
        <f>Presupuesto!E5</f>
        <v>970365</v>
      </c>
      <c r="F5" s="17">
        <f>Presupuesto!F5</f>
        <v>819359</v>
      </c>
      <c r="G5" s="17">
        <f>Presupuesto!G5</f>
        <v>1270407</v>
      </c>
      <c r="H5" s="17">
        <f>Presupuesto!H5</f>
        <v>739647</v>
      </c>
      <c r="I5" s="17">
        <f>Presupuesto!I5</f>
        <v>749232.83000000007</v>
      </c>
      <c r="J5" s="17">
        <f>Presupuesto!J5</f>
        <v>664518</v>
      </c>
      <c r="K5" s="17">
        <f>Presupuesto!K5</f>
        <v>542755</v>
      </c>
      <c r="L5" s="17">
        <f>Presupuesto!L5</f>
        <v>431726.54999999981</v>
      </c>
      <c r="M5" s="17">
        <f>Presupuesto!M5</f>
        <v>355799</v>
      </c>
      <c r="N5" s="17">
        <f>Presupuesto!N5</f>
        <v>301529</v>
      </c>
    </row>
    <row r="6" spans="2:14" ht="15.75" thickBot="1">
      <c r="B6" s="21" t="s">
        <v>50</v>
      </c>
      <c r="C6" s="17">
        <f>Presupuesto!C6</f>
        <v>395518</v>
      </c>
      <c r="D6" s="17">
        <f>Presupuesto!D6</f>
        <v>314338</v>
      </c>
      <c r="E6" s="17">
        <f>Presupuesto!E6</f>
        <v>463873</v>
      </c>
      <c r="F6" s="17">
        <f>Presupuesto!F6</f>
        <v>607941</v>
      </c>
      <c r="G6" s="17">
        <f>Presupuesto!G6</f>
        <v>486276</v>
      </c>
      <c r="H6" s="17">
        <f>Presupuesto!H6</f>
        <v>833301</v>
      </c>
      <c r="I6" s="17">
        <f>Presupuesto!I6</f>
        <v>1137495</v>
      </c>
      <c r="J6" s="17">
        <f>Presupuesto!J6</f>
        <v>1250293</v>
      </c>
      <c r="K6" s="17">
        <f>Presupuesto!K6</f>
        <v>1360275</v>
      </c>
      <c r="L6" s="17">
        <f>Presupuesto!L6</f>
        <v>1326306.8500000001</v>
      </c>
      <c r="M6" s="17">
        <f>Presupuesto!M6</f>
        <v>1306275</v>
      </c>
      <c r="N6" s="17">
        <f>Presupuesto!N6</f>
        <v>1370054</v>
      </c>
    </row>
    <row r="7" spans="2:14" ht="15.75" thickTop="1">
      <c r="B7" s="5" t="s">
        <v>12</v>
      </c>
      <c r="C7" s="6">
        <f t="shared" ref="C7:M7" si="0">SUM(C5,C6)</f>
        <v>1677787</v>
      </c>
      <c r="D7" s="6">
        <f t="shared" si="0"/>
        <v>1332074</v>
      </c>
      <c r="E7" s="6">
        <f t="shared" si="0"/>
        <v>1434238</v>
      </c>
      <c r="F7" s="6">
        <f t="shared" si="0"/>
        <v>1427300</v>
      </c>
      <c r="G7" s="6">
        <f t="shared" si="0"/>
        <v>1756683</v>
      </c>
      <c r="H7" s="6">
        <f t="shared" si="0"/>
        <v>1572948</v>
      </c>
      <c r="I7" s="6">
        <f t="shared" si="0"/>
        <v>1886727.83</v>
      </c>
      <c r="J7" s="6">
        <f t="shared" si="0"/>
        <v>1914811</v>
      </c>
      <c r="K7" s="6">
        <f t="shared" si="0"/>
        <v>1903030</v>
      </c>
      <c r="L7" s="6">
        <f t="shared" si="0"/>
        <v>1758033.4</v>
      </c>
      <c r="M7" s="6">
        <f t="shared" si="0"/>
        <v>1662074</v>
      </c>
      <c r="N7" s="6">
        <f t="shared" ref="N7" si="1">SUM(N5,N6)</f>
        <v>1671583</v>
      </c>
    </row>
    <row r="8" spans="2:14" s="247" customFormat="1">
      <c r="B8" s="16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>
      <c r="B9" s="13" t="s">
        <v>34</v>
      </c>
      <c r="C9" s="14">
        <v>2001</v>
      </c>
      <c r="D9" s="14">
        <v>2003</v>
      </c>
      <c r="E9" s="14">
        <v>2004</v>
      </c>
      <c r="F9" s="14">
        <v>2005</v>
      </c>
      <c r="G9" s="14">
        <v>2006</v>
      </c>
      <c r="H9" s="14">
        <v>2007</v>
      </c>
      <c r="I9" s="14" t="s">
        <v>8</v>
      </c>
      <c r="J9" s="14" t="s">
        <v>9</v>
      </c>
      <c r="K9" s="14" t="s">
        <v>10</v>
      </c>
      <c r="L9" s="15" t="s">
        <v>11</v>
      </c>
      <c r="M9" s="15" t="s">
        <v>397</v>
      </c>
    </row>
    <row r="10" spans="2:14" s="247" customFormat="1">
      <c r="B10" s="247" t="s">
        <v>440</v>
      </c>
      <c r="C10" s="3">
        <f>C6</f>
        <v>395518</v>
      </c>
      <c r="D10" s="4">
        <f>E6</f>
        <v>463873</v>
      </c>
      <c r="E10" s="4">
        <f t="shared" ref="E10:M10" si="2">F6</f>
        <v>607941</v>
      </c>
      <c r="F10" s="4">
        <f t="shared" si="2"/>
        <v>486276</v>
      </c>
      <c r="G10" s="4">
        <f t="shared" si="2"/>
        <v>833301</v>
      </c>
      <c r="H10" s="4">
        <f t="shared" si="2"/>
        <v>1137495</v>
      </c>
      <c r="I10" s="4">
        <f t="shared" si="2"/>
        <v>1250293</v>
      </c>
      <c r="J10" s="4">
        <f t="shared" si="2"/>
        <v>1360275</v>
      </c>
      <c r="K10" s="4">
        <f t="shared" si="2"/>
        <v>1326306.8500000001</v>
      </c>
      <c r="L10" s="4">
        <f t="shared" si="2"/>
        <v>1306275</v>
      </c>
      <c r="M10" s="4">
        <f t="shared" si="2"/>
        <v>1370054</v>
      </c>
    </row>
    <row r="12" spans="2:14" s="142" customFormat="1" ht="23.25">
      <c r="B12" s="2" t="s">
        <v>55</v>
      </c>
      <c r="C12" s="141"/>
      <c r="D12" s="141"/>
      <c r="E12" s="141"/>
      <c r="F12" s="141"/>
    </row>
    <row r="13" spans="2:14">
      <c r="B13" s="141"/>
      <c r="C13" s="141"/>
      <c r="D13" s="141"/>
      <c r="E13" s="141"/>
      <c r="F13" s="141"/>
    </row>
    <row r="14" spans="2:14">
      <c r="B14" s="77" t="s">
        <v>51</v>
      </c>
      <c r="C14" s="1" t="s">
        <v>362</v>
      </c>
      <c r="D14" s="1" t="s">
        <v>363</v>
      </c>
      <c r="E14" s="1" t="s">
        <v>364</v>
      </c>
      <c r="F14" s="1" t="s">
        <v>356</v>
      </c>
      <c r="G14" s="1" t="s">
        <v>357</v>
      </c>
      <c r="H14" s="1" t="s">
        <v>358</v>
      </c>
      <c r="I14" s="1" t="s">
        <v>359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397</v>
      </c>
    </row>
    <row r="15" spans="2:14" s="153" customFormat="1">
      <c r="B15" s="77" t="s">
        <v>0</v>
      </c>
      <c r="C15" s="3">
        <f>Informe!D36</f>
        <v>487</v>
      </c>
      <c r="D15" s="3">
        <f>Informe!E36</f>
        <v>592</v>
      </c>
      <c r="E15" s="3">
        <f>Informe!F36</f>
        <v>751</v>
      </c>
      <c r="F15" s="3">
        <f>Informe!G36</f>
        <v>989</v>
      </c>
      <c r="G15" s="3">
        <f>Informe!H36</f>
        <v>1170</v>
      </c>
      <c r="H15" s="3">
        <f>Informe!I36</f>
        <v>1310</v>
      </c>
      <c r="I15" s="3">
        <f>Informe!J36</f>
        <v>1602</v>
      </c>
      <c r="J15" s="3">
        <f>Informe!K36</f>
        <v>1671</v>
      </c>
      <c r="K15" s="3">
        <f>Informe!L36</f>
        <v>1948</v>
      </c>
      <c r="L15" s="3">
        <f>Informe!M36</f>
        <v>2013</v>
      </c>
      <c r="M15" s="3">
        <f>Informe!N36</f>
        <v>2315</v>
      </c>
      <c r="N15" s="3">
        <f>Informe!O36</f>
        <v>2314</v>
      </c>
    </row>
    <row r="16" spans="2:14" s="153" customFormat="1">
      <c r="B16" s="77" t="s">
        <v>13</v>
      </c>
      <c r="C16" s="3">
        <f>Informe!D37</f>
        <v>0</v>
      </c>
      <c r="D16" s="3">
        <f>Informe!E37</f>
        <v>0</v>
      </c>
      <c r="E16" s="3">
        <f>Informe!F37</f>
        <v>0</v>
      </c>
      <c r="F16" s="3">
        <f>Informe!G37</f>
        <v>0</v>
      </c>
      <c r="G16" s="3">
        <f>Informe!H37</f>
        <v>0</v>
      </c>
      <c r="H16" s="3">
        <f>Informe!I37</f>
        <v>0</v>
      </c>
      <c r="I16" s="3">
        <f>Informe!J37</f>
        <v>0</v>
      </c>
      <c r="J16" s="3">
        <f>Informe!K37</f>
        <v>0</v>
      </c>
      <c r="K16" s="3">
        <f>Informe!L37</f>
        <v>0</v>
      </c>
      <c r="L16" s="3">
        <f>Informe!M37</f>
        <v>0</v>
      </c>
      <c r="M16" s="3">
        <f>Informe!N37</f>
        <v>0</v>
      </c>
      <c r="N16" s="3">
        <f>Informe!O37</f>
        <v>0</v>
      </c>
    </row>
    <row r="17" spans="2:14" s="153" customFormat="1">
      <c r="B17" s="77" t="s">
        <v>33</v>
      </c>
      <c r="C17" s="3">
        <f>Informe!D38</f>
        <v>74</v>
      </c>
      <c r="D17" s="3">
        <f>Informe!E38</f>
        <v>98</v>
      </c>
      <c r="E17" s="3">
        <f>Informe!F38</f>
        <v>127</v>
      </c>
      <c r="F17" s="3">
        <f>Informe!G38</f>
        <v>93</v>
      </c>
      <c r="G17" s="3">
        <f>Informe!H38</f>
        <v>132</v>
      </c>
      <c r="H17" s="3">
        <f>Informe!I38</f>
        <v>115</v>
      </c>
      <c r="I17" s="3">
        <f>Informe!J38</f>
        <v>142</v>
      </c>
      <c r="J17" s="3">
        <f>Informe!K38</f>
        <v>164</v>
      </c>
      <c r="K17" s="3">
        <f>Informe!L38</f>
        <v>155</v>
      </c>
      <c r="L17" s="3">
        <f>Informe!M38</f>
        <v>202</v>
      </c>
      <c r="M17" s="3">
        <f>Informe!N38</f>
        <v>235</v>
      </c>
      <c r="N17" s="3">
        <f>Informe!O38</f>
        <v>241</v>
      </c>
    </row>
    <row r="18" spans="2:14" s="153" customFormat="1">
      <c r="B18" s="77" t="s">
        <v>36</v>
      </c>
      <c r="C18" s="3">
        <f>Informe!D39</f>
        <v>149</v>
      </c>
      <c r="D18" s="3">
        <f>Informe!E39</f>
        <v>179</v>
      </c>
      <c r="E18" s="3">
        <f>Informe!F39</f>
        <v>203</v>
      </c>
      <c r="F18" s="3">
        <f>Informe!G39</f>
        <v>235</v>
      </c>
      <c r="G18" s="3">
        <f>Informe!H39</f>
        <v>225</v>
      </c>
      <c r="H18" s="3">
        <f>Informe!I39</f>
        <v>245</v>
      </c>
      <c r="I18" s="3">
        <f>Informe!J39</f>
        <v>254</v>
      </c>
      <c r="J18" s="3">
        <f>Informe!K39</f>
        <v>285</v>
      </c>
      <c r="K18" s="3">
        <f>Informe!L39</f>
        <v>380</v>
      </c>
      <c r="L18" s="3">
        <f>Informe!M39</f>
        <v>461</v>
      </c>
      <c r="M18" s="3">
        <f>Informe!N39</f>
        <v>511</v>
      </c>
      <c r="N18" s="3">
        <f>Informe!O39</f>
        <v>542</v>
      </c>
    </row>
    <row r="19" spans="2:14" s="153" customFormat="1">
      <c r="B19" s="77" t="s">
        <v>47</v>
      </c>
      <c r="C19" s="3">
        <f>Informe!D40</f>
        <v>550</v>
      </c>
      <c r="D19" s="3">
        <f>Informe!E40</f>
        <v>610</v>
      </c>
      <c r="E19" s="3">
        <f>Informe!F40</f>
        <v>752</v>
      </c>
      <c r="F19" s="3">
        <f>Informe!G40</f>
        <v>891</v>
      </c>
      <c r="G19" s="3">
        <f>Informe!H40</f>
        <v>1018</v>
      </c>
      <c r="H19" s="3">
        <f>Informe!I40</f>
        <v>1079</v>
      </c>
      <c r="I19" s="3">
        <f>Informe!J40</f>
        <v>1299</v>
      </c>
      <c r="J19" s="3">
        <f>Informe!K40</f>
        <v>1373</v>
      </c>
      <c r="K19" s="3">
        <f>Informe!L40</f>
        <v>1589</v>
      </c>
      <c r="L19" s="3">
        <f>Informe!M40</f>
        <v>1481</v>
      </c>
      <c r="M19" s="3">
        <f>Informe!N40</f>
        <v>1760</v>
      </c>
      <c r="N19" s="3">
        <f>Informe!O40</f>
        <v>1680</v>
      </c>
    </row>
    <row r="20" spans="2:14" s="153" customFormat="1">
      <c r="B20" s="152" t="s">
        <v>42</v>
      </c>
      <c r="C20" s="3">
        <f>Informe!D41</f>
        <v>9</v>
      </c>
      <c r="D20" s="3">
        <f>Informe!E41</f>
        <v>13</v>
      </c>
      <c r="E20" s="3">
        <f>Informe!F41</f>
        <v>13</v>
      </c>
      <c r="F20" s="3">
        <f>Informe!G41</f>
        <v>12</v>
      </c>
      <c r="G20" s="3">
        <f>Informe!H41</f>
        <v>11</v>
      </c>
      <c r="H20" s="3">
        <f>Informe!I41</f>
        <v>21</v>
      </c>
      <c r="I20" s="3">
        <f>Informe!J41</f>
        <v>26</v>
      </c>
      <c r="J20" s="3">
        <f>Informe!K41</f>
        <v>18</v>
      </c>
      <c r="K20" s="3">
        <f>Informe!L41</f>
        <v>32</v>
      </c>
      <c r="L20" s="3">
        <f>Informe!M41</f>
        <v>55</v>
      </c>
      <c r="M20" s="3">
        <f>Informe!N41</f>
        <v>72</v>
      </c>
      <c r="N20" s="3">
        <f>Informe!O41</f>
        <v>68</v>
      </c>
    </row>
    <row r="21" spans="2:14" s="153" customFormat="1">
      <c r="B21" s="152" t="s">
        <v>354</v>
      </c>
      <c r="C21" s="3">
        <f>Tabla32[2001]</f>
        <v>97</v>
      </c>
      <c r="D21" s="3">
        <f>Tabla32[2002]</f>
        <v>101</v>
      </c>
      <c r="E21" s="3">
        <f>Tabla32[2003]</f>
        <v>125</v>
      </c>
      <c r="F21" s="3">
        <f>Tabla32[2004]</f>
        <v>170</v>
      </c>
      <c r="G21" s="3">
        <f>Tabla32[2005]</f>
        <v>110</v>
      </c>
      <c r="H21" s="3">
        <f>Tabla32[2006]</f>
        <v>90</v>
      </c>
      <c r="I21" s="3">
        <f>Tabla32[2007]</f>
        <v>115</v>
      </c>
      <c r="J21" s="3">
        <f>Tabla32[2008]</f>
        <v>107</v>
      </c>
      <c r="K21" s="3">
        <f>BBDD!K64</f>
        <v>107</v>
      </c>
      <c r="L21" s="3">
        <f>BBDD!L64</f>
        <v>110</v>
      </c>
      <c r="M21" s="3">
        <f>BBDD!M64</f>
        <v>115</v>
      </c>
      <c r="N21" s="3">
        <f>BBDD!O64</f>
        <v>1367</v>
      </c>
    </row>
    <row r="22" spans="2:14" s="153" customFormat="1">
      <c r="B22" s="233" t="s">
        <v>12</v>
      </c>
      <c r="C22" s="170">
        <f>SUM(Tabla128[2001])</f>
        <v>1366</v>
      </c>
      <c r="D22" s="170">
        <f>SUM(Tabla128[2002])</f>
        <v>1593</v>
      </c>
      <c r="E22" s="170">
        <f>SUM(Tabla128[2003])</f>
        <v>1971</v>
      </c>
      <c r="F22" s="170">
        <f>SUM(Tabla128[2004])</f>
        <v>2390</v>
      </c>
      <c r="G22" s="170">
        <f>SUM(Tabla128[2005])</f>
        <v>2666</v>
      </c>
      <c r="H22" s="170">
        <f>SUM(Tabla128[2006])</f>
        <v>2860</v>
      </c>
      <c r="I22" s="170">
        <f>SUM(Tabla128[2007])</f>
        <v>3438</v>
      </c>
      <c r="J22" s="170">
        <f>SUM(Tabla128[2008])</f>
        <v>3618</v>
      </c>
      <c r="K22" s="170">
        <f>SUM(Tabla128[2009])</f>
        <v>4211</v>
      </c>
      <c r="L22" s="170">
        <f>SUM(Tabla128[2010])</f>
        <v>4322</v>
      </c>
      <c r="M22">
        <f>SUM(Tabla128[2011])</f>
        <v>5008</v>
      </c>
      <c r="N22" s="218">
        <f>SUM(Tabla128[2012])</f>
        <v>6212</v>
      </c>
    </row>
    <row r="23" spans="2:14" s="170" customFormat="1">
      <c r="B23" s="167"/>
    </row>
    <row r="24" spans="2:14" s="170" customFormat="1">
      <c r="B24" s="177" t="s">
        <v>51</v>
      </c>
      <c r="C24" s="1" t="s">
        <v>362</v>
      </c>
      <c r="D24" s="1" t="s">
        <v>364</v>
      </c>
      <c r="E24" s="1" t="s">
        <v>356</v>
      </c>
      <c r="F24" s="1" t="s">
        <v>357</v>
      </c>
      <c r="G24" s="1" t="s">
        <v>358</v>
      </c>
      <c r="H24" s="1" t="s">
        <v>359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397</v>
      </c>
    </row>
    <row r="25" spans="2:14" s="170" customFormat="1">
      <c r="B25" s="167" t="s">
        <v>0</v>
      </c>
      <c r="C25" s="3">
        <f>C15</f>
        <v>487</v>
      </c>
      <c r="D25" s="3">
        <f>E15</f>
        <v>751</v>
      </c>
      <c r="E25" s="3">
        <f t="shared" ref="E25:M25" si="3">F15</f>
        <v>989</v>
      </c>
      <c r="F25" s="3">
        <f t="shared" si="3"/>
        <v>1170</v>
      </c>
      <c r="G25" s="3">
        <f t="shared" si="3"/>
        <v>1310</v>
      </c>
      <c r="H25" s="3">
        <f t="shared" si="3"/>
        <v>1602</v>
      </c>
      <c r="I25" s="3">
        <f t="shared" si="3"/>
        <v>1671</v>
      </c>
      <c r="J25" s="3">
        <f t="shared" si="3"/>
        <v>1948</v>
      </c>
      <c r="K25" s="3">
        <f t="shared" si="3"/>
        <v>2013</v>
      </c>
      <c r="L25" s="3">
        <f t="shared" si="3"/>
        <v>2315</v>
      </c>
      <c r="M25" s="3">
        <f t="shared" si="3"/>
        <v>2314</v>
      </c>
    </row>
    <row r="27" spans="2:14" ht="23.25">
      <c r="B27" s="2" t="s">
        <v>56</v>
      </c>
      <c r="C27" s="141"/>
      <c r="D27" s="141"/>
      <c r="E27" s="141"/>
      <c r="F27" s="141"/>
    </row>
    <row r="28" spans="2:14">
      <c r="B28" s="141"/>
      <c r="C28" s="141"/>
      <c r="D28" s="141"/>
      <c r="E28" s="141"/>
      <c r="F28" s="141"/>
    </row>
    <row r="29" spans="2:14">
      <c r="B29" s="79" t="s">
        <v>57</v>
      </c>
      <c r="C29" s="80">
        <v>2001</v>
      </c>
      <c r="D29" s="80">
        <v>2002</v>
      </c>
      <c r="E29" s="80">
        <v>2003</v>
      </c>
      <c r="F29" s="80">
        <v>2004</v>
      </c>
      <c r="G29" s="80">
        <v>2005</v>
      </c>
      <c r="H29" s="80">
        <v>2006</v>
      </c>
      <c r="I29" s="80">
        <v>2007</v>
      </c>
      <c r="J29" s="80" t="s">
        <v>8</v>
      </c>
      <c r="K29" s="80" t="s">
        <v>9</v>
      </c>
      <c r="L29" s="81" t="s">
        <v>10</v>
      </c>
      <c r="M29" s="81" t="s">
        <v>11</v>
      </c>
      <c r="N29" s="81" t="s">
        <v>397</v>
      </c>
    </row>
    <row r="30" spans="2:14">
      <c r="B30" s="58" t="s">
        <v>58</v>
      </c>
      <c r="C30" s="82">
        <f>Informe!D63</f>
        <v>2210</v>
      </c>
      <c r="D30" s="82">
        <f>Informe!E63</f>
        <v>2329</v>
      </c>
      <c r="E30" s="82">
        <f>Informe!F63</f>
        <v>1701</v>
      </c>
      <c r="F30" s="82">
        <f>Informe!G63</f>
        <v>1679</v>
      </c>
      <c r="G30" s="82">
        <f>Informe!H63</f>
        <v>1916</v>
      </c>
      <c r="H30" s="82">
        <f>Informe!I63</f>
        <v>2090</v>
      </c>
      <c r="I30" s="82">
        <f>Informe!J63</f>
        <v>2122</v>
      </c>
      <c r="J30" s="82">
        <f>Informe!K63</f>
        <v>2106</v>
      </c>
      <c r="K30" s="82">
        <f>Informe!L63</f>
        <v>2117</v>
      </c>
      <c r="L30" s="82">
        <f>Informe!M63</f>
        <v>2090</v>
      </c>
      <c r="M30" s="82">
        <f>Informe!N63</f>
        <v>2058</v>
      </c>
      <c r="N30" s="82">
        <f>Informe!O63</f>
        <v>2032</v>
      </c>
    </row>
    <row r="31" spans="2:14" ht="15.75" thickBot="1">
      <c r="B31" s="84" t="s">
        <v>59</v>
      </c>
      <c r="C31" s="189" t="s">
        <v>365</v>
      </c>
      <c r="D31" s="189" t="s">
        <v>365</v>
      </c>
      <c r="E31" s="82">
        <f>Informe!F64</f>
        <v>700</v>
      </c>
      <c r="F31" s="82">
        <f>Informe!G64</f>
        <v>818</v>
      </c>
      <c r="G31" s="82">
        <f>Informe!H64</f>
        <v>684</v>
      </c>
      <c r="H31" s="82">
        <f>Informe!I64</f>
        <v>555</v>
      </c>
      <c r="I31" s="82">
        <f>Informe!J64</f>
        <v>637</v>
      </c>
      <c r="J31" s="82">
        <f>Informe!K64</f>
        <v>672</v>
      </c>
      <c r="K31" s="82">
        <f>Informe!L64</f>
        <v>738</v>
      </c>
      <c r="L31" s="82">
        <f>Informe!M64</f>
        <v>696</v>
      </c>
      <c r="M31" s="82">
        <f>Informe!N64</f>
        <v>712</v>
      </c>
      <c r="N31" s="82">
        <f>Informe!O64</f>
        <v>687</v>
      </c>
    </row>
    <row r="32" spans="2:14" ht="15.75" thickTop="1">
      <c r="B32" s="86" t="s">
        <v>12</v>
      </c>
      <c r="C32" s="87">
        <f t="shared" ref="C32:E32" si="4">SUM(C30:C31)</f>
        <v>2210</v>
      </c>
      <c r="D32" s="87">
        <f t="shared" si="4"/>
        <v>2329</v>
      </c>
      <c r="E32" s="87">
        <f t="shared" si="4"/>
        <v>2401</v>
      </c>
      <c r="F32" s="87">
        <f>SUM(F30:F31)</f>
        <v>2497</v>
      </c>
      <c r="G32" s="87">
        <f t="shared" ref="G32:M32" si="5">SUM(G30:G31)</f>
        <v>2600</v>
      </c>
      <c r="H32" s="87">
        <f t="shared" si="5"/>
        <v>2645</v>
      </c>
      <c r="I32" s="87">
        <f t="shared" si="5"/>
        <v>2759</v>
      </c>
      <c r="J32" s="87">
        <f t="shared" si="5"/>
        <v>2778</v>
      </c>
      <c r="K32" s="87">
        <f t="shared" si="5"/>
        <v>2855</v>
      </c>
      <c r="L32" s="87">
        <f t="shared" si="5"/>
        <v>2786</v>
      </c>
      <c r="M32" s="87">
        <f t="shared" si="5"/>
        <v>2770</v>
      </c>
      <c r="N32" s="87">
        <f t="shared" ref="N32" si="6">SUM(N30:N31)</f>
        <v>2719</v>
      </c>
    </row>
    <row r="34" spans="2:14" s="216" customFormat="1" ht="23.25">
      <c r="B34" s="2" t="s">
        <v>392</v>
      </c>
    </row>
    <row r="35" spans="2:14" s="216" customFormat="1"/>
    <row r="36" spans="2:14" s="216" customFormat="1">
      <c r="B36" s="79" t="s">
        <v>391</v>
      </c>
      <c r="C36" s="187">
        <v>2001</v>
      </c>
      <c r="D36" s="187">
        <v>2002</v>
      </c>
      <c r="E36" s="187">
        <v>2003</v>
      </c>
      <c r="F36" s="80">
        <v>2004</v>
      </c>
      <c r="G36" s="80">
        <v>2005</v>
      </c>
      <c r="H36" s="80">
        <v>2006</v>
      </c>
      <c r="I36" s="80">
        <v>2007</v>
      </c>
      <c r="J36" s="80" t="s">
        <v>8</v>
      </c>
      <c r="K36" s="80" t="s">
        <v>9</v>
      </c>
      <c r="L36" s="81" t="s">
        <v>10</v>
      </c>
      <c r="M36" s="81" t="s">
        <v>11</v>
      </c>
      <c r="N36" s="81" t="s">
        <v>397</v>
      </c>
    </row>
    <row r="37" spans="2:14" s="216" customFormat="1">
      <c r="B37" s="201" t="s">
        <v>436</v>
      </c>
      <c r="C37" s="219">
        <f>C15/C32</f>
        <v>0.22036199095022624</v>
      </c>
      <c r="D37" s="219">
        <f t="shared" ref="D37:M37" si="7">D15/D32</f>
        <v>0.25418634607127522</v>
      </c>
      <c r="E37" s="219">
        <f t="shared" si="7"/>
        <v>0.31278633902540609</v>
      </c>
      <c r="F37" s="219">
        <f t="shared" si="7"/>
        <v>0.3960752903484181</v>
      </c>
      <c r="G37" s="219">
        <f t="shared" si="7"/>
        <v>0.45</v>
      </c>
      <c r="H37" s="219">
        <f t="shared" si="7"/>
        <v>0.4952741020793951</v>
      </c>
      <c r="I37" s="219">
        <f t="shared" si="7"/>
        <v>0.58064516129032262</v>
      </c>
      <c r="J37" s="219">
        <f t="shared" si="7"/>
        <v>0.60151187904967607</v>
      </c>
      <c r="K37" s="219">
        <f t="shared" si="7"/>
        <v>0.68231173380035026</v>
      </c>
      <c r="L37" s="219">
        <f t="shared" si="7"/>
        <v>0.72254127781765976</v>
      </c>
      <c r="M37" s="219">
        <f t="shared" si="7"/>
        <v>0.83574007220216606</v>
      </c>
      <c r="N37" s="219">
        <f t="shared" ref="N37" si="8">N15/N32</f>
        <v>0.85104817947774913</v>
      </c>
    </row>
    <row r="38" spans="2:14" s="216" customFormat="1">
      <c r="B38" s="220" t="s">
        <v>393</v>
      </c>
      <c r="C38" s="249">
        <f>C6/C53</f>
        <v>116.43155725640271</v>
      </c>
      <c r="D38" s="188" t="s">
        <v>365</v>
      </c>
      <c r="E38" s="221">
        <f>E6/E53</f>
        <v>3.6464563091532245</v>
      </c>
      <c r="F38" s="221">
        <f t="shared" ref="F38:M38" si="9">F6/F53</f>
        <v>3.227891048104492</v>
      </c>
      <c r="G38" s="221">
        <f t="shared" si="9"/>
        <v>2.0719310430043842</v>
      </c>
      <c r="H38" s="221">
        <f t="shared" si="9"/>
        <v>1.2214442135010979</v>
      </c>
      <c r="I38" s="221">
        <f t="shared" si="9"/>
        <v>2.792330691960998</v>
      </c>
      <c r="J38" s="221">
        <f t="shared" si="9"/>
        <v>2.4405485067343355</v>
      </c>
      <c r="K38" s="221">
        <f t="shared" si="9"/>
        <v>1.9517960785439101</v>
      </c>
      <c r="L38" s="221">
        <f t="shared" si="9"/>
        <v>1.8177302131158777</v>
      </c>
      <c r="M38" s="221">
        <f t="shared" si="9"/>
        <v>1.4767761956712209</v>
      </c>
      <c r="N38" s="221">
        <f t="shared" ref="N38" si="10">N6/N53</f>
        <v>1.7436657791715242</v>
      </c>
    </row>
    <row r="39" spans="2:14" s="236" customFormat="1">
      <c r="B39" s="90"/>
      <c r="C39" s="188"/>
      <c r="D39" s="188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2:14" s="236" customFormat="1">
      <c r="B40" s="152" t="s">
        <v>391</v>
      </c>
      <c r="C40" s="243" t="s">
        <v>362</v>
      </c>
      <c r="D40" s="243" t="s">
        <v>364</v>
      </c>
      <c r="E40" s="243" t="s">
        <v>356</v>
      </c>
      <c r="F40" s="243" t="s">
        <v>357</v>
      </c>
      <c r="G40" s="243" t="s">
        <v>358</v>
      </c>
      <c r="H40" s="243" t="s">
        <v>359</v>
      </c>
      <c r="I40" s="243" t="s">
        <v>8</v>
      </c>
      <c r="J40" s="243" t="s">
        <v>9</v>
      </c>
      <c r="K40" s="243" t="s">
        <v>10</v>
      </c>
      <c r="L40" s="243" t="s">
        <v>11</v>
      </c>
      <c r="M40" s="243" t="s">
        <v>397</v>
      </c>
      <c r="N40" s="221"/>
    </row>
    <row r="41" spans="2:14" s="216" customFormat="1">
      <c r="B41" s="201" t="s">
        <v>436</v>
      </c>
      <c r="C41" s="244">
        <v>0.22</v>
      </c>
      <c r="D41" s="219">
        <f>E15/E32</f>
        <v>0.31278633902540609</v>
      </c>
      <c r="E41" s="219">
        <f t="shared" ref="E41:M41" si="11">F15/F32</f>
        <v>0.3960752903484181</v>
      </c>
      <c r="F41" s="219">
        <f t="shared" si="11"/>
        <v>0.45</v>
      </c>
      <c r="G41" s="219">
        <f t="shared" si="11"/>
        <v>0.4952741020793951</v>
      </c>
      <c r="H41" s="219">
        <f t="shared" si="11"/>
        <v>0.58064516129032262</v>
      </c>
      <c r="I41" s="219">
        <f t="shared" si="11"/>
        <v>0.60151187904967607</v>
      </c>
      <c r="J41" s="219">
        <f t="shared" si="11"/>
        <v>0.68231173380035026</v>
      </c>
      <c r="K41" s="219">
        <f t="shared" si="11"/>
        <v>0.72254127781765976</v>
      </c>
      <c r="L41" s="219">
        <f t="shared" si="11"/>
        <v>0.83574007220216606</v>
      </c>
      <c r="M41" s="219">
        <f t="shared" si="11"/>
        <v>0.85104817947774913</v>
      </c>
    </row>
    <row r="42" spans="2:14" s="216" customFormat="1"/>
    <row r="44" spans="2:14" s="153" customFormat="1" ht="23.25">
      <c r="B44" s="2" t="s">
        <v>316</v>
      </c>
    </row>
    <row r="45" spans="2:14" s="153" customFormat="1"/>
    <row r="46" spans="2:14" s="153" customFormat="1">
      <c r="B46" s="182" t="s">
        <v>309</v>
      </c>
      <c r="C46" s="175" t="s">
        <v>362</v>
      </c>
      <c r="D46" s="175" t="s">
        <v>363</v>
      </c>
      <c r="E46" s="175" t="s">
        <v>364</v>
      </c>
      <c r="F46" s="175" t="s">
        <v>356</v>
      </c>
      <c r="G46" s="175" t="s">
        <v>357</v>
      </c>
      <c r="H46" s="175" t="s">
        <v>358</v>
      </c>
      <c r="I46" s="175" t="s">
        <v>359</v>
      </c>
      <c r="J46" s="175" t="s">
        <v>8</v>
      </c>
      <c r="K46" s="175" t="s">
        <v>9</v>
      </c>
      <c r="L46" s="175" t="s">
        <v>10</v>
      </c>
      <c r="M46" s="175" t="s">
        <v>11</v>
      </c>
      <c r="N46" s="175" t="s">
        <v>397</v>
      </c>
    </row>
    <row r="47" spans="2:14" s="153" customFormat="1">
      <c r="B47" s="153" t="s">
        <v>310</v>
      </c>
      <c r="C47" s="114">
        <f>Informe!D83</f>
        <v>305920</v>
      </c>
      <c r="D47" s="114">
        <f>Informe!E83</f>
        <v>334000</v>
      </c>
      <c r="E47" s="114">
        <f>Informe!F83</f>
        <v>366269</v>
      </c>
      <c r="F47" s="114">
        <f>Informe!G83</f>
        <v>397485</v>
      </c>
      <c r="G47" s="114">
        <f>Informe!H83</f>
        <v>403330</v>
      </c>
      <c r="H47" s="114">
        <f>Informe!I83</f>
        <v>436940</v>
      </c>
      <c r="I47" s="114">
        <f>Informe!J83</f>
        <v>463595</v>
      </c>
      <c r="J47" s="114">
        <f>Informe!K83</f>
        <v>494082</v>
      </c>
      <c r="K47" s="114">
        <f>Informe!L83</f>
        <v>524743</v>
      </c>
      <c r="L47" s="114">
        <f>Informe!M83</f>
        <v>555981</v>
      </c>
      <c r="M47" s="114">
        <f>Informe!N83</f>
        <v>564507</v>
      </c>
      <c r="N47" s="114">
        <f>Informe!O83</f>
        <v>558311</v>
      </c>
    </row>
    <row r="48" spans="2:14" s="153" customFormat="1">
      <c r="B48" s="153" t="s">
        <v>311</v>
      </c>
      <c r="C48" s="114">
        <f>Informe!D84</f>
        <v>1140</v>
      </c>
      <c r="D48" s="114">
        <f>Informe!E84</f>
        <v>2439</v>
      </c>
      <c r="E48" s="114">
        <f>Informe!F84</f>
        <v>1940</v>
      </c>
      <c r="F48" s="114">
        <f>Informe!G84</f>
        <v>2794</v>
      </c>
      <c r="G48" s="114">
        <f>Informe!H84</f>
        <v>2634</v>
      </c>
      <c r="H48" s="114">
        <f>Informe!I84</f>
        <v>3258</v>
      </c>
      <c r="I48" s="114">
        <f>Informe!J84</f>
        <v>624</v>
      </c>
      <c r="J48" s="114">
        <f>Informe!K84</f>
        <v>2819</v>
      </c>
      <c r="K48" s="114">
        <f>Informe!L84</f>
        <v>2870</v>
      </c>
      <c r="L48" s="114">
        <f>Informe!M84</f>
        <v>2960</v>
      </c>
      <c r="M48" s="114">
        <f>Informe!N84</f>
        <v>3040</v>
      </c>
      <c r="N48" s="114">
        <f>Informe!O84</f>
        <v>3576</v>
      </c>
    </row>
    <row r="49" spans="2:14" s="153" customFormat="1">
      <c r="B49" s="153" t="s">
        <v>312</v>
      </c>
      <c r="C49" s="114">
        <f>Informe!D85</f>
        <v>0</v>
      </c>
      <c r="D49" s="114">
        <f>Informe!E85</f>
        <v>0</v>
      </c>
      <c r="E49" s="114">
        <f>Informe!F85</f>
        <v>23200</v>
      </c>
      <c r="F49" s="114">
        <f>Informe!G85</f>
        <v>24200</v>
      </c>
      <c r="G49" s="114">
        <f>Informe!H85</f>
        <v>28041</v>
      </c>
      <c r="H49" s="114">
        <f>Informe!I85</f>
        <v>44457</v>
      </c>
      <c r="I49" s="114">
        <f>Informe!J85</f>
        <v>79839</v>
      </c>
      <c r="J49" s="114">
        <f>Informe!K85</f>
        <v>13966</v>
      </c>
      <c r="K49" s="114">
        <f>Informe!L85</f>
        <v>15332</v>
      </c>
      <c r="L49" s="114">
        <f>Informe!M85</f>
        <v>22668</v>
      </c>
      <c r="M49" s="114">
        <f>Informe!N85</f>
        <v>37201</v>
      </c>
      <c r="N49" s="114">
        <f>Informe!O85</f>
        <v>35144</v>
      </c>
    </row>
    <row r="50" spans="2:14" s="153" customFormat="1">
      <c r="B50" s="153" t="s">
        <v>313</v>
      </c>
      <c r="C50" s="114">
        <f>Informe!D86</f>
        <v>572</v>
      </c>
      <c r="D50" s="114">
        <f>Informe!E86</f>
        <v>1309</v>
      </c>
      <c r="E50" s="114">
        <f>Informe!F86</f>
        <v>2947</v>
      </c>
      <c r="F50" s="114">
        <f>Informe!G86</f>
        <v>4472</v>
      </c>
      <c r="G50" s="114">
        <f>Informe!H86</f>
        <v>10216</v>
      </c>
      <c r="H50" s="114">
        <f>Informe!I86</f>
        <v>12047</v>
      </c>
      <c r="I50" s="114">
        <f>Informe!J86</f>
        <v>15548</v>
      </c>
      <c r="J50" s="114">
        <f>Informe!K86</f>
        <v>9122</v>
      </c>
      <c r="K50" s="114">
        <f>Informe!L86</f>
        <v>9045</v>
      </c>
      <c r="L50" s="114">
        <f>Informe!M86</f>
        <v>8387</v>
      </c>
      <c r="M50" s="114">
        <f>Informe!N86</f>
        <v>8354</v>
      </c>
      <c r="N50" s="114">
        <f>Informe!O86</f>
        <v>18722</v>
      </c>
    </row>
    <row r="51" spans="2:14">
      <c r="B51" s="153" t="s">
        <v>51</v>
      </c>
      <c r="C51" s="114">
        <f>Informe!D87</f>
        <v>70</v>
      </c>
      <c r="D51" s="114">
        <f>Informe!E87</f>
        <v>75</v>
      </c>
      <c r="E51" s="114">
        <f>Informe!F87</f>
        <v>68</v>
      </c>
      <c r="F51" s="114">
        <f>Informe!G87</f>
        <v>73</v>
      </c>
      <c r="G51" s="114">
        <f>Informe!H87</f>
        <v>67</v>
      </c>
      <c r="H51" s="114">
        <f>Informe!I87</f>
        <v>90</v>
      </c>
      <c r="I51" s="114">
        <f>Informe!J87</f>
        <v>81</v>
      </c>
      <c r="J51" s="114">
        <f>Informe!K87</f>
        <v>91</v>
      </c>
      <c r="K51" s="114">
        <f>Informe!L87</f>
        <v>91</v>
      </c>
      <c r="L51" s="114">
        <f>Informe!M87</f>
        <v>79</v>
      </c>
      <c r="M51" s="114">
        <f>Informe!N87</f>
        <v>45</v>
      </c>
      <c r="N51" s="114">
        <f>Informe!O87</f>
        <v>33</v>
      </c>
    </row>
    <row r="52" spans="2:14">
      <c r="B52" s="153" t="s">
        <v>314</v>
      </c>
      <c r="C52" s="114">
        <f>Informe!D88</f>
        <v>275033</v>
      </c>
      <c r="D52" s="114">
        <f>Informe!E88</f>
        <v>345312</v>
      </c>
      <c r="E52" s="114">
        <f>Informe!F88</f>
        <v>451213</v>
      </c>
      <c r="F52" s="114">
        <f>Informe!G88</f>
        <v>530134</v>
      </c>
      <c r="G52" s="114">
        <f>Informe!H88</f>
        <v>544229</v>
      </c>
      <c r="H52" s="114">
        <f>Informe!I88</f>
        <v>552103</v>
      </c>
      <c r="I52" s="114">
        <f>Informe!J88</f>
        <v>611865</v>
      </c>
      <c r="J52" s="114">
        <f>Informe!K88</f>
        <v>637061</v>
      </c>
      <c r="K52" s="114">
        <f>Informe!L88</f>
        <v>654140</v>
      </c>
      <c r="L52" s="114">
        <f>Informe!M88</f>
        <v>660160</v>
      </c>
      <c r="M52" s="114">
        <f>Informe!N88</f>
        <v>642433</v>
      </c>
      <c r="N52" s="114">
        <f>Informe!O88</f>
        <v>495749</v>
      </c>
    </row>
    <row r="53" spans="2:14">
      <c r="B53" s="153" t="s">
        <v>315</v>
      </c>
      <c r="C53" s="114">
        <f>Informe!D89</f>
        <v>3397</v>
      </c>
      <c r="D53" s="199" t="s">
        <v>365</v>
      </c>
      <c r="E53" s="114">
        <f>Informe!F89</f>
        <v>127212</v>
      </c>
      <c r="F53" s="114">
        <f>Informe!G89</f>
        <v>188340</v>
      </c>
      <c r="G53" s="114">
        <f>Informe!H89</f>
        <v>234697</v>
      </c>
      <c r="H53" s="114">
        <f>Informe!I89</f>
        <v>682226</v>
      </c>
      <c r="I53" s="114">
        <f>Informe!J89</f>
        <v>407364</v>
      </c>
      <c r="J53" s="114">
        <f>Informe!K89</f>
        <v>512300</v>
      </c>
      <c r="K53" s="114">
        <f>Informe!L89</f>
        <v>696935</v>
      </c>
      <c r="L53" s="114">
        <f>Informe!M89</f>
        <v>729650</v>
      </c>
      <c r="M53" s="114">
        <f>Informe!N89</f>
        <v>884545</v>
      </c>
      <c r="N53" s="114">
        <f>Informe!O89</f>
        <v>785732</v>
      </c>
    </row>
    <row r="54" spans="2:14" s="170" customFormat="1">
      <c r="C54" s="114"/>
      <c r="D54" s="199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2:14" s="170" customFormat="1">
      <c r="B55" s="182" t="s">
        <v>309</v>
      </c>
      <c r="C55" s="202" t="s">
        <v>362</v>
      </c>
      <c r="D55" s="202" t="s">
        <v>364</v>
      </c>
      <c r="E55" s="202" t="s">
        <v>356</v>
      </c>
      <c r="F55" s="202" t="s">
        <v>357</v>
      </c>
      <c r="G55" s="202" t="s">
        <v>358</v>
      </c>
      <c r="H55" s="202" t="s">
        <v>359</v>
      </c>
      <c r="I55" s="202" t="s">
        <v>8</v>
      </c>
      <c r="J55" s="202" t="s">
        <v>9</v>
      </c>
      <c r="K55" s="202" t="s">
        <v>10</v>
      </c>
      <c r="L55" s="202" t="s">
        <v>11</v>
      </c>
      <c r="M55" s="226" t="s">
        <v>397</v>
      </c>
    </row>
    <row r="56" spans="2:14" s="170" customFormat="1">
      <c r="B56" s="170" t="s">
        <v>313</v>
      </c>
      <c r="C56" s="203">
        <f>C50</f>
        <v>572</v>
      </c>
      <c r="D56" s="204">
        <f>E50</f>
        <v>2947</v>
      </c>
      <c r="E56" s="204">
        <f t="shared" ref="E56:M57" si="12">F50</f>
        <v>4472</v>
      </c>
      <c r="F56" s="204">
        <f t="shared" si="12"/>
        <v>10216</v>
      </c>
      <c r="G56" s="204">
        <f t="shared" si="12"/>
        <v>12047</v>
      </c>
      <c r="H56" s="204">
        <f t="shared" si="12"/>
        <v>15548</v>
      </c>
      <c r="I56" s="204">
        <f t="shared" si="12"/>
        <v>9122</v>
      </c>
      <c r="J56" s="204">
        <f t="shared" si="12"/>
        <v>9045</v>
      </c>
      <c r="K56" s="204">
        <f t="shared" si="12"/>
        <v>8387</v>
      </c>
      <c r="L56" s="204">
        <f t="shared" si="12"/>
        <v>8354</v>
      </c>
      <c r="M56" s="225">
        <f t="shared" si="12"/>
        <v>18722</v>
      </c>
    </row>
    <row r="57" spans="2:14" s="182" customFormat="1">
      <c r="B57" s="182" t="s">
        <v>51</v>
      </c>
      <c r="C57" s="203">
        <f>C51</f>
        <v>70</v>
      </c>
      <c r="D57" s="204">
        <f>E51</f>
        <v>68</v>
      </c>
      <c r="E57" s="204">
        <f t="shared" si="12"/>
        <v>73</v>
      </c>
      <c r="F57" s="204">
        <f t="shared" si="12"/>
        <v>67</v>
      </c>
      <c r="G57" s="204">
        <f t="shared" si="12"/>
        <v>90</v>
      </c>
      <c r="H57" s="204">
        <f t="shared" si="12"/>
        <v>81</v>
      </c>
      <c r="I57" s="204">
        <f t="shared" si="12"/>
        <v>91</v>
      </c>
      <c r="J57" s="204">
        <f t="shared" si="12"/>
        <v>91</v>
      </c>
      <c r="K57" s="204">
        <f t="shared" si="12"/>
        <v>79</v>
      </c>
      <c r="L57" s="204">
        <f t="shared" si="12"/>
        <v>45</v>
      </c>
      <c r="M57" s="225">
        <f t="shared" si="12"/>
        <v>33</v>
      </c>
    </row>
    <row r="58" spans="2:14" s="170" customFormat="1">
      <c r="B58" s="170" t="s">
        <v>315</v>
      </c>
      <c r="C58" s="203">
        <f>C53</f>
        <v>3397</v>
      </c>
      <c r="D58" s="204">
        <f>E53</f>
        <v>127212</v>
      </c>
      <c r="E58" s="204">
        <f t="shared" ref="E58:M58" si="13">F53</f>
        <v>188340</v>
      </c>
      <c r="F58" s="204">
        <f t="shared" si="13"/>
        <v>234697</v>
      </c>
      <c r="G58" s="204">
        <f t="shared" si="13"/>
        <v>682226</v>
      </c>
      <c r="H58" s="204">
        <f t="shared" si="13"/>
        <v>407364</v>
      </c>
      <c r="I58" s="204">
        <f t="shared" si="13"/>
        <v>512300</v>
      </c>
      <c r="J58" s="204">
        <f t="shared" si="13"/>
        <v>696935</v>
      </c>
      <c r="K58" s="204">
        <f t="shared" si="13"/>
        <v>729650</v>
      </c>
      <c r="L58" s="204">
        <f t="shared" si="13"/>
        <v>884545</v>
      </c>
      <c r="M58" s="225">
        <f t="shared" si="13"/>
        <v>785732</v>
      </c>
    </row>
    <row r="59" spans="2:14" s="153" customFormat="1">
      <c r="C59" s="114"/>
      <c r="D59" s="114"/>
      <c r="E59" s="114"/>
      <c r="F59" s="114"/>
      <c r="G59" s="114"/>
      <c r="H59" s="114"/>
      <c r="I59" s="114"/>
    </row>
    <row r="60" spans="2:14" s="153" customFormat="1">
      <c r="C60" s="114"/>
      <c r="D60" s="114"/>
      <c r="E60" s="114"/>
      <c r="F60" s="114"/>
      <c r="G60" s="114"/>
      <c r="H60" s="114"/>
      <c r="I60" s="114"/>
    </row>
    <row r="61" spans="2:14" s="153" customFormat="1" ht="23.25">
      <c r="B61" s="2" t="s">
        <v>360</v>
      </c>
    </row>
    <row r="62" spans="2:14" s="153" customFormat="1"/>
    <row r="63" spans="2:14" s="153" customFormat="1">
      <c r="B63" s="153" t="s">
        <v>309</v>
      </c>
      <c r="C63" s="175" t="s">
        <v>363</v>
      </c>
      <c r="D63" s="175" t="s">
        <v>364</v>
      </c>
      <c r="E63" s="175" t="s">
        <v>356</v>
      </c>
      <c r="F63" s="175" t="s">
        <v>357</v>
      </c>
      <c r="G63" s="175" t="s">
        <v>358</v>
      </c>
      <c r="H63" s="175" t="s">
        <v>359</v>
      </c>
      <c r="I63" s="175" t="s">
        <v>8</v>
      </c>
      <c r="J63" s="175" t="s">
        <v>9</v>
      </c>
      <c r="K63" s="175" t="s">
        <v>10</v>
      </c>
      <c r="L63" s="175" t="s">
        <v>11</v>
      </c>
      <c r="M63" s="175" t="s">
        <v>397</v>
      </c>
    </row>
    <row r="64" spans="2:14" s="153" customFormat="1">
      <c r="B64" s="153" t="s">
        <v>310</v>
      </c>
      <c r="C64" s="196">
        <f t="shared" ref="C64:E64" si="14">D47-C47</f>
        <v>28080</v>
      </c>
      <c r="D64" s="196">
        <f t="shared" si="14"/>
        <v>32269</v>
      </c>
      <c r="E64" s="196">
        <f t="shared" si="14"/>
        <v>31216</v>
      </c>
      <c r="F64" s="196">
        <f t="shared" ref="F64:M70" si="15">G47-F47</f>
        <v>5845</v>
      </c>
      <c r="G64" s="196">
        <f t="shared" si="15"/>
        <v>33610</v>
      </c>
      <c r="H64" s="196">
        <f t="shared" si="15"/>
        <v>26655</v>
      </c>
      <c r="I64" s="196">
        <f t="shared" si="15"/>
        <v>30487</v>
      </c>
      <c r="J64" s="196">
        <f t="shared" si="15"/>
        <v>30661</v>
      </c>
      <c r="K64" s="196">
        <f t="shared" si="15"/>
        <v>31238</v>
      </c>
      <c r="L64" s="196">
        <f t="shared" si="15"/>
        <v>8526</v>
      </c>
      <c r="M64" s="227">
        <f t="shared" si="15"/>
        <v>-6196</v>
      </c>
    </row>
    <row r="65" spans="1:14" s="153" customFormat="1">
      <c r="B65" s="153" t="s">
        <v>311</v>
      </c>
      <c r="C65" s="196">
        <f t="shared" ref="C65:E65" si="16">D48-C48</f>
        <v>1299</v>
      </c>
      <c r="D65" s="196">
        <f t="shared" si="16"/>
        <v>-499</v>
      </c>
      <c r="E65" s="196">
        <f t="shared" si="16"/>
        <v>854</v>
      </c>
      <c r="F65" s="196">
        <f t="shared" si="15"/>
        <v>-160</v>
      </c>
      <c r="G65" s="196">
        <f t="shared" si="15"/>
        <v>624</v>
      </c>
      <c r="H65" s="196">
        <f t="shared" si="15"/>
        <v>-2634</v>
      </c>
      <c r="I65" s="196">
        <f t="shared" si="15"/>
        <v>2195</v>
      </c>
      <c r="J65" s="196">
        <f t="shared" si="15"/>
        <v>51</v>
      </c>
      <c r="K65" s="196">
        <f t="shared" si="15"/>
        <v>90</v>
      </c>
      <c r="L65" s="196">
        <f t="shared" si="15"/>
        <v>80</v>
      </c>
      <c r="M65" s="227">
        <f t="shared" si="15"/>
        <v>536</v>
      </c>
    </row>
    <row r="66" spans="1:14" s="153" customFormat="1">
      <c r="B66" s="153" t="s">
        <v>312</v>
      </c>
      <c r="C66" s="197" t="s">
        <v>365</v>
      </c>
      <c r="D66" s="196">
        <f>E49-D49</f>
        <v>23200</v>
      </c>
      <c r="E66" s="196">
        <f>F49-E49</f>
        <v>1000</v>
      </c>
      <c r="F66" s="196">
        <f t="shared" si="15"/>
        <v>3841</v>
      </c>
      <c r="G66" s="196">
        <f t="shared" si="15"/>
        <v>16416</v>
      </c>
      <c r="H66" s="196">
        <f t="shared" si="15"/>
        <v>35382</v>
      </c>
      <c r="I66" s="196">
        <f t="shared" si="15"/>
        <v>-65873</v>
      </c>
      <c r="J66" s="196">
        <f t="shared" si="15"/>
        <v>1366</v>
      </c>
      <c r="K66" s="196">
        <f t="shared" si="15"/>
        <v>7336</v>
      </c>
      <c r="L66" s="196">
        <f t="shared" si="15"/>
        <v>14533</v>
      </c>
      <c r="M66" s="227">
        <f t="shared" si="15"/>
        <v>-2057</v>
      </c>
    </row>
    <row r="67" spans="1:14">
      <c r="B67" s="153" t="s">
        <v>313</v>
      </c>
      <c r="C67" s="196">
        <f t="shared" ref="C67:E67" si="17">D50-C50</f>
        <v>737</v>
      </c>
      <c r="D67" s="196">
        <f t="shared" si="17"/>
        <v>1638</v>
      </c>
      <c r="E67" s="196">
        <f t="shared" si="17"/>
        <v>1525</v>
      </c>
      <c r="F67" s="196">
        <f t="shared" si="15"/>
        <v>5744</v>
      </c>
      <c r="G67" s="196">
        <f t="shared" si="15"/>
        <v>1831</v>
      </c>
      <c r="H67" s="196">
        <f t="shared" si="15"/>
        <v>3501</v>
      </c>
      <c r="I67" s="196">
        <f t="shared" si="15"/>
        <v>-6426</v>
      </c>
      <c r="J67" s="196">
        <f t="shared" si="15"/>
        <v>-77</v>
      </c>
      <c r="K67" s="196">
        <f t="shared" si="15"/>
        <v>-658</v>
      </c>
      <c r="L67" s="196">
        <f t="shared" si="15"/>
        <v>-33</v>
      </c>
      <c r="M67" s="227">
        <f t="shared" si="15"/>
        <v>10368</v>
      </c>
    </row>
    <row r="68" spans="1:14">
      <c r="B68" s="153" t="s">
        <v>51</v>
      </c>
      <c r="C68" s="196">
        <f t="shared" ref="C68:E68" si="18">D51-C51</f>
        <v>5</v>
      </c>
      <c r="D68" s="196">
        <f t="shared" si="18"/>
        <v>-7</v>
      </c>
      <c r="E68" s="196">
        <f t="shared" si="18"/>
        <v>5</v>
      </c>
      <c r="F68" s="196">
        <f t="shared" si="15"/>
        <v>-6</v>
      </c>
      <c r="G68" s="196">
        <f t="shared" si="15"/>
        <v>23</v>
      </c>
      <c r="H68" s="196">
        <f t="shared" si="15"/>
        <v>-9</v>
      </c>
      <c r="I68" s="196">
        <f t="shared" si="15"/>
        <v>10</v>
      </c>
      <c r="J68" s="196">
        <f t="shared" si="15"/>
        <v>0</v>
      </c>
      <c r="K68" s="196">
        <f t="shared" si="15"/>
        <v>-12</v>
      </c>
      <c r="L68" s="196">
        <f t="shared" si="15"/>
        <v>-34</v>
      </c>
      <c r="M68" s="227">
        <f t="shared" si="15"/>
        <v>-12</v>
      </c>
    </row>
    <row r="69" spans="1:14">
      <c r="B69" s="153" t="s">
        <v>314</v>
      </c>
      <c r="C69" s="196">
        <f t="shared" ref="C69:E69" si="19">D52-C52</f>
        <v>70279</v>
      </c>
      <c r="D69" s="196">
        <f t="shared" si="19"/>
        <v>105901</v>
      </c>
      <c r="E69" s="196">
        <f t="shared" si="19"/>
        <v>78921</v>
      </c>
      <c r="F69" s="196">
        <f t="shared" si="15"/>
        <v>14095</v>
      </c>
      <c r="G69" s="196">
        <f t="shared" si="15"/>
        <v>7874</v>
      </c>
      <c r="H69" s="196">
        <f t="shared" si="15"/>
        <v>59762</v>
      </c>
      <c r="I69" s="196">
        <f t="shared" si="15"/>
        <v>25196</v>
      </c>
      <c r="J69" s="196">
        <f t="shared" si="15"/>
        <v>17079</v>
      </c>
      <c r="K69" s="196">
        <f t="shared" si="15"/>
        <v>6020</v>
      </c>
      <c r="L69" s="196">
        <f t="shared" si="15"/>
        <v>-17727</v>
      </c>
      <c r="M69" s="227">
        <f t="shared" si="15"/>
        <v>-146684</v>
      </c>
    </row>
    <row r="70" spans="1:14">
      <c r="B70" s="153" t="s">
        <v>315</v>
      </c>
      <c r="C70" s="197" t="s">
        <v>365</v>
      </c>
      <c r="D70" s="198" t="s">
        <v>365</v>
      </c>
      <c r="E70" s="196">
        <f>F53-E53</f>
        <v>61128</v>
      </c>
      <c r="F70" s="196">
        <f t="shared" si="15"/>
        <v>46357</v>
      </c>
      <c r="G70" s="196">
        <f t="shared" si="15"/>
        <v>447529</v>
      </c>
      <c r="H70" s="196">
        <f t="shared" si="15"/>
        <v>-274862</v>
      </c>
      <c r="I70" s="196">
        <f t="shared" si="15"/>
        <v>104936</v>
      </c>
      <c r="J70" s="196">
        <f t="shared" si="15"/>
        <v>184635</v>
      </c>
      <c r="K70" s="196">
        <f t="shared" si="15"/>
        <v>32715</v>
      </c>
      <c r="L70" s="196">
        <f t="shared" si="15"/>
        <v>154895</v>
      </c>
      <c r="M70" s="227">
        <f t="shared" si="15"/>
        <v>-98813</v>
      </c>
    </row>
    <row r="71" spans="1:14" s="153" customFormat="1">
      <c r="C71" s="176"/>
      <c r="D71" s="176"/>
      <c r="E71" s="176"/>
      <c r="F71" s="176"/>
      <c r="G71" s="176"/>
      <c r="H71" s="176"/>
      <c r="I71" s="176"/>
    </row>
    <row r="72" spans="1:14" s="153" customFormat="1">
      <c r="C72" s="176"/>
      <c r="D72" s="176"/>
      <c r="E72" s="176"/>
      <c r="F72" s="176"/>
      <c r="G72" s="176"/>
      <c r="H72" s="176"/>
      <c r="I72" s="176"/>
    </row>
    <row r="73" spans="1:14" s="142" customFormat="1" ht="24" thickBot="1">
      <c r="B73" s="2" t="s">
        <v>347</v>
      </c>
      <c r="C73"/>
      <c r="D73"/>
      <c r="E73"/>
      <c r="F73"/>
      <c r="G73"/>
      <c r="H73"/>
      <c r="I73"/>
      <c r="J73"/>
    </row>
    <row r="74" spans="1:14" ht="15.75" thickTop="1">
      <c r="B74" s="101"/>
      <c r="C74" s="252">
        <v>2008</v>
      </c>
      <c r="D74" s="253"/>
      <c r="E74" s="252">
        <v>2009</v>
      </c>
      <c r="F74" s="253"/>
      <c r="G74" s="252">
        <v>2010</v>
      </c>
      <c r="H74" s="251"/>
      <c r="I74" s="252">
        <v>2011</v>
      </c>
      <c r="J74" s="255"/>
      <c r="K74" s="252">
        <v>2012</v>
      </c>
      <c r="L74" s="255"/>
    </row>
    <row r="75" spans="1:14" ht="15.75" thickBot="1">
      <c r="A75" s="142"/>
      <c r="B75" s="103" t="s">
        <v>173</v>
      </c>
      <c r="C75" s="106">
        <f>Informe!D78</f>
        <v>0.50593610758928942</v>
      </c>
      <c r="D75" s="106">
        <f>Informe!E78</f>
        <v>0.57866860808338738</v>
      </c>
      <c r="E75" s="106">
        <f>Informe!F78</f>
        <v>0.51772323790404151</v>
      </c>
      <c r="F75" s="106">
        <f>Informe!G78</f>
        <v>0.58694258807325994</v>
      </c>
      <c r="G75" s="106">
        <f>Informe!H78</f>
        <v>0.61652122505873186</v>
      </c>
      <c r="H75" s="106">
        <f>Informe!I78</f>
        <v>0.68720370330803038</v>
      </c>
      <c r="I75" s="106">
        <f>Informe!J78</f>
        <v>0.60549690224631136</v>
      </c>
      <c r="J75" s="106">
        <f>Informe!K78</f>
        <v>0.67768893846165323</v>
      </c>
      <c r="K75" s="106">
        <f>Informe!L78</f>
        <v>0.5273961005782285</v>
      </c>
      <c r="L75" s="106">
        <f>Informe!M78</f>
        <v>0.59381602063389261</v>
      </c>
    </row>
    <row r="76" spans="1:14" ht="15.75" thickTop="1">
      <c r="A76" s="142"/>
      <c r="B76" s="142"/>
      <c r="C76" s="142"/>
      <c r="D76" s="142"/>
      <c r="E76" s="142"/>
      <c r="F76" s="142"/>
    </row>
    <row r="77" spans="1:14">
      <c r="D77" s="261" t="s">
        <v>368</v>
      </c>
      <c r="E77" s="261"/>
      <c r="F77" s="262"/>
      <c r="G77" s="262"/>
      <c r="K77" s="270" t="s">
        <v>403</v>
      </c>
      <c r="L77" s="270"/>
      <c r="M77" s="270"/>
      <c r="N77" s="270"/>
    </row>
    <row r="78" spans="1:14">
      <c r="B78" s="258" t="s">
        <v>348</v>
      </c>
      <c r="C78" s="258"/>
      <c r="D78" s="258" t="s">
        <v>399</v>
      </c>
      <c r="E78" s="258"/>
      <c r="F78" s="258" t="s">
        <v>395</v>
      </c>
      <c r="G78" s="258"/>
      <c r="H78" s="267" t="s">
        <v>388</v>
      </c>
      <c r="I78" s="268"/>
      <c r="K78" s="228" t="s">
        <v>401</v>
      </c>
      <c r="L78" s="228" t="s">
        <v>402</v>
      </c>
      <c r="M78" s="231"/>
      <c r="N78" s="228" t="s">
        <v>400</v>
      </c>
    </row>
    <row r="79" spans="1:14">
      <c r="B79" s="260" t="s">
        <v>350</v>
      </c>
      <c r="C79" s="260"/>
      <c r="D79" s="259">
        <f>PEARSON(C7:N7,C15:N15)</f>
        <v>0.57618987540856614</v>
      </c>
      <c r="E79" s="259"/>
      <c r="F79" s="265">
        <v>0.57599999999999996</v>
      </c>
      <c r="G79" s="265"/>
      <c r="H79" s="256" t="str">
        <f t="shared" ref="H79:H90" si="20">IF(ABS(D79)&gt;F79,"Existe correlación","NO existe correlación")</f>
        <v>Existe correlación</v>
      </c>
      <c r="I79" s="257"/>
      <c r="J79" s="216"/>
      <c r="K79" s="248">
        <f>TANH(N79-(D79/SQRT(9)))</f>
        <v>0.43388826255310353</v>
      </c>
      <c r="L79" s="248">
        <f>TANH(N79+(D79/SQRT(9)))</f>
        <v>0.69044381893293683</v>
      </c>
      <c r="M79" s="232"/>
      <c r="N79" s="229">
        <f>0.5*LN((1+D79)/(1-D79))</f>
        <v>0.65674010345491673</v>
      </c>
    </row>
    <row r="80" spans="1:14" s="216" customFormat="1">
      <c r="B80" s="256" t="s">
        <v>394</v>
      </c>
      <c r="C80" s="257"/>
      <c r="D80" s="263">
        <f>PEARSON(C7:N7,C37:N37)</f>
        <v>0.54446574977468021</v>
      </c>
      <c r="E80" s="264"/>
      <c r="F80" s="265">
        <v>0.57599999999999996</v>
      </c>
      <c r="G80" s="265"/>
      <c r="H80" s="256" t="str">
        <f t="shared" si="20"/>
        <v>NO existe correlación</v>
      </c>
      <c r="I80" s="257"/>
      <c r="K80" s="248">
        <f t="shared" ref="K80:K87" si="21">TANH(N80-(D80/SQRT(9)))</f>
        <v>0.40447909271019461</v>
      </c>
      <c r="L80" s="248">
        <f t="shared" ref="L80:L87" si="22">TANH(N80+(D80/SQRT(9)))</f>
        <v>0.65952347504298459</v>
      </c>
      <c r="M80" s="232"/>
      <c r="N80" s="229">
        <f t="shared" ref="N80:N90" si="23">0.5*LN((1+D80)/(1-D80))</f>
        <v>0.61048121502055042</v>
      </c>
    </row>
    <row r="81" spans="2:14">
      <c r="B81" s="260" t="s">
        <v>349</v>
      </c>
      <c r="C81" s="260"/>
      <c r="D81" s="259">
        <f>PEARSON(C47:N47,C52:N52)</f>
        <v>0.82233329755116213</v>
      </c>
      <c r="E81" s="259"/>
      <c r="F81" s="265">
        <v>0.57599999999999996</v>
      </c>
      <c r="G81" s="265"/>
      <c r="H81" s="256" t="str">
        <f t="shared" si="20"/>
        <v>Existe correlación</v>
      </c>
      <c r="I81" s="257"/>
      <c r="J81" s="216"/>
      <c r="K81" s="248">
        <f t="shared" si="21"/>
        <v>0.71132987588881647</v>
      </c>
      <c r="L81" s="248">
        <f t="shared" si="22"/>
        <v>0.89331316992220122</v>
      </c>
      <c r="M81" s="232"/>
      <c r="N81" s="229">
        <f t="shared" si="23"/>
        <v>1.1639818268466131</v>
      </c>
    </row>
    <row r="82" spans="2:14">
      <c r="B82" s="260" t="s">
        <v>351</v>
      </c>
      <c r="C82" s="260"/>
      <c r="D82" s="259">
        <f>PEARSON(C56:M56,C58:M58)</f>
        <v>0.62248045174518296</v>
      </c>
      <c r="E82" s="259"/>
      <c r="F82" s="265">
        <v>0.60209999999999997</v>
      </c>
      <c r="G82" s="265"/>
      <c r="H82" s="256" t="str">
        <f t="shared" si="20"/>
        <v>Existe correlación</v>
      </c>
      <c r="I82" s="257"/>
      <c r="J82" s="216"/>
      <c r="K82" s="248">
        <f>TANH(N82-(D82/SQRT(8)))</f>
        <v>0.46913795637424488</v>
      </c>
      <c r="L82" s="248">
        <f>TANH(N82+(D82/SQRT(8)))</f>
        <v>0.73938648211829772</v>
      </c>
      <c r="M82" s="232"/>
      <c r="N82" s="229">
        <f t="shared" si="23"/>
        <v>0.72904452473491055</v>
      </c>
    </row>
    <row r="83" spans="2:14" s="182" customFormat="1">
      <c r="B83" s="256" t="s">
        <v>366</v>
      </c>
      <c r="C83" s="257"/>
      <c r="D83" s="263">
        <f>PEARSON(C57:M57,C58:M58)</f>
        <v>-0.17945369235627148</v>
      </c>
      <c r="E83" s="264"/>
      <c r="F83" s="265">
        <v>0.60209999999999997</v>
      </c>
      <c r="G83" s="265"/>
      <c r="H83" s="256" t="str">
        <f t="shared" si="20"/>
        <v>NO existe correlación</v>
      </c>
      <c r="I83" s="257"/>
      <c r="J83" s="216"/>
      <c r="K83" s="248">
        <f>TANH(N83-(D83/SQRT(8)))</f>
        <v>-0.1174274302862638</v>
      </c>
      <c r="L83" s="248">
        <f>TANH(N83+(D83/SQRT(8)))</f>
        <v>-0.24008527963222417</v>
      </c>
      <c r="M83" s="232"/>
      <c r="N83" s="229">
        <f t="shared" si="23"/>
        <v>-0.18141814520758937</v>
      </c>
    </row>
    <row r="84" spans="2:14" s="236" customFormat="1">
      <c r="B84" s="256" t="s">
        <v>405</v>
      </c>
      <c r="C84" s="257"/>
      <c r="D84" s="263">
        <f>PEARSON(C41:M41,C58:M58)</f>
        <v>0.93078424647646607</v>
      </c>
      <c r="E84" s="264"/>
      <c r="F84" s="265">
        <v>0.60209999999999997</v>
      </c>
      <c r="G84" s="265"/>
      <c r="H84" s="256" t="str">
        <f t="shared" si="20"/>
        <v>Existe correlación</v>
      </c>
      <c r="I84" s="257"/>
      <c r="K84" s="248">
        <f>TANH(N84-(D84/SQRT(8)))</f>
        <v>0.87050109375323836</v>
      </c>
      <c r="L84" s="248">
        <f>TANH(N84+(D84/SQRT(8)))</f>
        <v>0.96355175447529873</v>
      </c>
      <c r="M84" s="232"/>
      <c r="N84" s="229">
        <f t="shared" si="23"/>
        <v>1.6642265279493047</v>
      </c>
    </row>
    <row r="85" spans="2:14">
      <c r="B85" s="260" t="s">
        <v>352</v>
      </c>
      <c r="C85" s="260"/>
      <c r="D85" s="259">
        <f>PEARSON(C25:M25,C58:M58)</f>
        <v>0.93298387016211604</v>
      </c>
      <c r="E85" s="259"/>
      <c r="F85" s="265">
        <v>0.60209999999999997</v>
      </c>
      <c r="G85" s="265"/>
      <c r="H85" s="256" t="str">
        <f t="shared" si="20"/>
        <v>Existe correlación</v>
      </c>
      <c r="I85" s="257"/>
      <c r="K85" s="248">
        <f>TANH(N85-(D85/SQRT(8)))</f>
        <v>0.87430885346228249</v>
      </c>
      <c r="L85" s="248">
        <f>TANH(N85+(D85/SQRT(8)))</f>
        <v>0.96478292584870151</v>
      </c>
      <c r="M85" s="232"/>
      <c r="N85" s="229">
        <f t="shared" si="23"/>
        <v>1.6809434002246952</v>
      </c>
    </row>
    <row r="86" spans="2:14" s="211" customFormat="1">
      <c r="B86" s="212" t="s">
        <v>390</v>
      </c>
      <c r="C86" s="213"/>
      <c r="D86" s="263">
        <f>PEARSON(C5:N5,C52:N52)</f>
        <v>-0.67034469136304708</v>
      </c>
      <c r="E86" s="264"/>
      <c r="F86" s="271">
        <v>0.57599999999999996</v>
      </c>
      <c r="G86" s="272"/>
      <c r="H86" s="256" t="str">
        <f t="shared" si="20"/>
        <v>Existe correlación</v>
      </c>
      <c r="I86" s="257"/>
      <c r="K86" s="248">
        <f t="shared" si="21"/>
        <v>-0.52839844633527622</v>
      </c>
      <c r="L86" s="248">
        <f t="shared" si="22"/>
        <v>-0.77583311543283962</v>
      </c>
      <c r="M86" s="232"/>
      <c r="N86" s="229">
        <f t="shared" si="23"/>
        <v>-0.81136884841924917</v>
      </c>
    </row>
    <row r="87" spans="2:14" s="247" customFormat="1">
      <c r="B87" s="256" t="s">
        <v>441</v>
      </c>
      <c r="C87" s="257"/>
      <c r="D87" s="263">
        <f>PEARSON(C5:N5,C37:N37)</f>
        <v>-0.90248845523087406</v>
      </c>
      <c r="E87" s="264"/>
      <c r="F87" s="271">
        <v>0.57599999999999996</v>
      </c>
      <c r="G87" s="272"/>
      <c r="H87" s="256" t="str">
        <f t="shared" ref="H87" si="24">IF(ABS(D87)&gt;F87,"Existe correlación","NO existe correlación")</f>
        <v>Existe correlación</v>
      </c>
      <c r="I87" s="257"/>
      <c r="K87" s="248">
        <f t="shared" si="21"/>
        <v>-0.82891040151471906</v>
      </c>
      <c r="L87" s="248">
        <f t="shared" si="22"/>
        <v>-0.94536903957226415</v>
      </c>
      <c r="M87" s="232"/>
      <c r="N87" s="229">
        <f t="shared" si="23"/>
        <v>-1.4854736213125135</v>
      </c>
    </row>
    <row r="88" spans="2:14" s="182" customFormat="1">
      <c r="B88" s="256" t="s">
        <v>367</v>
      </c>
      <c r="C88" s="257"/>
      <c r="D88" s="263">
        <f>PEARSON(C6:N6,C15:N15)</f>
        <v>0.95361686874814955</v>
      </c>
      <c r="E88" s="264"/>
      <c r="F88" s="265">
        <v>0.57599999999999996</v>
      </c>
      <c r="G88" s="265"/>
      <c r="H88" s="256" t="str">
        <f t="shared" si="20"/>
        <v>Existe correlación</v>
      </c>
      <c r="I88" s="257"/>
      <c r="K88" s="248">
        <f>TANH(N88-(D88/SQRT(8)))</f>
        <v>0.91095299248657524</v>
      </c>
      <c r="L88" s="248">
        <f>TANH(N88+(D88/SQRT(8)))</f>
        <v>0.97609548508880462</v>
      </c>
      <c r="M88" s="232"/>
      <c r="N88" s="229">
        <f t="shared" si="23"/>
        <v>1.87025094774663</v>
      </c>
    </row>
    <row r="89" spans="2:14" s="216" customFormat="1">
      <c r="B89" s="214" t="s">
        <v>396</v>
      </c>
      <c r="C89" s="215"/>
      <c r="D89" s="263">
        <f>PEARSON(C37:N37,C6:N6)</f>
        <v>0.94106964266066728</v>
      </c>
      <c r="E89" s="264"/>
      <c r="F89" s="271">
        <v>0.57599999999999996</v>
      </c>
      <c r="G89" s="272"/>
      <c r="H89" s="256" t="str">
        <f t="shared" si="20"/>
        <v>Existe correlación</v>
      </c>
      <c r="I89" s="257"/>
      <c r="K89" s="248">
        <f>TANH(N89-(D89/SQRT(7)))</f>
        <v>0.88352858402599488</v>
      </c>
      <c r="L89" s="248">
        <f>TANH(N89+(D89/SQRT(7)))</f>
        <v>0.97062667361281241</v>
      </c>
      <c r="M89" s="232"/>
      <c r="N89" s="229">
        <f t="shared" si="23"/>
        <v>1.7473190498423394</v>
      </c>
    </row>
    <row r="90" spans="2:14">
      <c r="B90" s="260" t="s">
        <v>353</v>
      </c>
      <c r="C90" s="260"/>
      <c r="D90" s="259">
        <f>PEARSON(C10:M10,C58:M58)</f>
        <v>0.88516923423686289</v>
      </c>
      <c r="E90" s="259"/>
      <c r="F90" s="265">
        <v>0.60209999999999997</v>
      </c>
      <c r="G90" s="265"/>
      <c r="H90" s="256" t="str">
        <f t="shared" si="20"/>
        <v>Existe correlación</v>
      </c>
      <c r="I90" s="257"/>
      <c r="K90" s="248">
        <f>TANH(N90-(D90/SQRT(7)))</f>
        <v>0.78741586900071259</v>
      </c>
      <c r="L90" s="248">
        <f>TANH(N90+(D90/SQRT(7)))</f>
        <v>0.93949391899944512</v>
      </c>
      <c r="M90" s="230"/>
      <c r="N90" s="229">
        <f t="shared" si="23"/>
        <v>1.3991567164271996</v>
      </c>
    </row>
    <row r="92" spans="2:14" s="247" customFormat="1">
      <c r="B92" s="258" t="s">
        <v>348</v>
      </c>
      <c r="C92" s="258"/>
      <c r="D92" s="258" t="s">
        <v>437</v>
      </c>
      <c r="E92" s="258"/>
      <c r="F92" s="258" t="s">
        <v>388</v>
      </c>
      <c r="G92" s="258"/>
    </row>
    <row r="93" spans="2:14" s="247" customFormat="1">
      <c r="B93" s="256" t="s">
        <v>394</v>
      </c>
      <c r="C93" s="257"/>
      <c r="D93" s="263">
        <v>0.45500000000000002</v>
      </c>
      <c r="E93" s="264"/>
      <c r="F93" s="266" t="s">
        <v>439</v>
      </c>
      <c r="G93" s="266"/>
      <c r="I93" s="247" t="s">
        <v>442</v>
      </c>
      <c r="K93" s="247">
        <f>((1.96+0.842)/(0.5*LN((1+0.75)/(1-0.75))))*((1.96+0.842)/(0.5*LN((1+0.75)/(1-0.75))))+3</f>
        <v>11.293745162212149</v>
      </c>
    </row>
    <row r="94" spans="2:14" s="247" customFormat="1">
      <c r="B94" s="260" t="s">
        <v>349</v>
      </c>
      <c r="C94" s="260"/>
      <c r="D94" s="259">
        <v>0.76900000000000002</v>
      </c>
      <c r="E94" s="259"/>
      <c r="F94" s="266" t="s">
        <v>438</v>
      </c>
      <c r="G94" s="266"/>
    </row>
    <row r="95" spans="2:14" s="247" customFormat="1">
      <c r="B95" s="260" t="s">
        <v>351</v>
      </c>
      <c r="C95" s="260"/>
      <c r="D95" s="259">
        <v>0.47299999999999998</v>
      </c>
      <c r="E95" s="259"/>
      <c r="F95" s="266" t="s">
        <v>439</v>
      </c>
      <c r="G95" s="266"/>
    </row>
    <row r="96" spans="2:14" s="247" customFormat="1">
      <c r="B96" s="256" t="s">
        <v>405</v>
      </c>
      <c r="C96" s="257"/>
      <c r="D96" s="263">
        <v>0.96399999999999997</v>
      </c>
      <c r="E96" s="264"/>
      <c r="F96" s="266" t="s">
        <v>438</v>
      </c>
      <c r="G96" s="266"/>
    </row>
    <row r="97" spans="2:9" s="247" customFormat="1">
      <c r="B97" s="212" t="s">
        <v>390</v>
      </c>
      <c r="C97" s="213"/>
      <c r="D97" s="263">
        <v>-0.66400000000000003</v>
      </c>
      <c r="E97" s="264"/>
      <c r="F97" s="266" t="s">
        <v>438</v>
      </c>
      <c r="G97" s="266"/>
    </row>
    <row r="98" spans="2:9" s="247" customFormat="1">
      <c r="B98" s="256" t="s">
        <v>441</v>
      </c>
      <c r="C98" s="257"/>
      <c r="D98" s="263">
        <v>-0.95099999999999996</v>
      </c>
      <c r="E98" s="264"/>
      <c r="F98" s="266" t="s">
        <v>438</v>
      </c>
      <c r="G98" s="266"/>
    </row>
    <row r="99" spans="2:9" s="247" customFormat="1">
      <c r="B99" s="245" t="s">
        <v>396</v>
      </c>
      <c r="C99" s="246"/>
      <c r="D99" s="263">
        <v>0.95799999999999996</v>
      </c>
      <c r="E99" s="264"/>
      <c r="F99" s="266" t="s">
        <v>438</v>
      </c>
      <c r="G99" s="266"/>
    </row>
    <row r="100" spans="2:9" s="247" customFormat="1">
      <c r="B100" s="260" t="s">
        <v>353</v>
      </c>
      <c r="C100" s="260"/>
      <c r="D100" s="259">
        <v>0.9</v>
      </c>
      <c r="E100" s="259"/>
      <c r="F100" s="266" t="s">
        <v>438</v>
      </c>
      <c r="G100" s="266"/>
    </row>
    <row r="102" spans="2:9">
      <c r="B102" s="209"/>
      <c r="C102" s="209"/>
      <c r="D102" s="261"/>
      <c r="E102" s="261"/>
      <c r="F102" s="262"/>
      <c r="G102" s="262"/>
    </row>
    <row r="103" spans="2:9">
      <c r="B103" s="258" t="s">
        <v>348</v>
      </c>
      <c r="C103" s="258"/>
      <c r="D103" s="258" t="s">
        <v>398</v>
      </c>
      <c r="E103" s="258"/>
      <c r="F103" s="262"/>
      <c r="G103" s="262"/>
      <c r="H103" s="168"/>
      <c r="I103" s="168"/>
    </row>
    <row r="104" spans="2:9">
      <c r="B104" s="260" t="s">
        <v>350</v>
      </c>
      <c r="C104" s="260"/>
      <c r="D104" s="259">
        <f>PEARSON(J7:M7,J15:M15)</f>
        <v>-0.89963596481766273</v>
      </c>
      <c r="E104" s="259"/>
      <c r="F104" s="269"/>
      <c r="G104" s="269"/>
      <c r="H104" s="91"/>
      <c r="I104" s="90"/>
    </row>
    <row r="105" spans="2:9" s="218" customFormat="1">
      <c r="B105" s="256" t="s">
        <v>394</v>
      </c>
      <c r="C105" s="257"/>
      <c r="D105" s="263">
        <f>PEARSON(J7:N7,J37:N37)</f>
        <v>-0.94908649560476066</v>
      </c>
      <c r="E105" s="264"/>
      <c r="F105" s="217"/>
      <c r="G105" s="217"/>
      <c r="H105" s="91"/>
      <c r="I105" s="90"/>
    </row>
    <row r="106" spans="2:9">
      <c r="B106" s="260" t="s">
        <v>349</v>
      </c>
      <c r="C106" s="260"/>
      <c r="D106" s="259">
        <f>PEARSON(J47:N47,J52:N52)</f>
        <v>-0.2922065125687226</v>
      </c>
      <c r="E106" s="259"/>
      <c r="F106" s="269"/>
      <c r="G106" s="269"/>
      <c r="H106" s="91"/>
      <c r="I106" s="90"/>
    </row>
    <row r="107" spans="2:9">
      <c r="B107" s="260" t="s">
        <v>351</v>
      </c>
      <c r="C107" s="260"/>
      <c r="D107" s="259">
        <f>PEARSON(I56:M56,I58:M58)</f>
        <v>0.19713484086703409</v>
      </c>
      <c r="E107" s="259"/>
      <c r="F107" s="269"/>
      <c r="G107" s="269"/>
      <c r="H107" s="91"/>
      <c r="I107" s="90"/>
    </row>
    <row r="108" spans="2:9">
      <c r="B108" s="256" t="s">
        <v>366</v>
      </c>
      <c r="C108" s="257"/>
      <c r="D108" s="263">
        <f>PEARSON(C68:M68,C70:M70)</f>
        <v>0.46739566402536992</v>
      </c>
      <c r="E108" s="264"/>
      <c r="F108" s="269"/>
      <c r="G108" s="269"/>
      <c r="H108" s="91"/>
      <c r="I108" s="90"/>
    </row>
    <row r="109" spans="2:9">
      <c r="B109" s="260" t="s">
        <v>352</v>
      </c>
      <c r="C109" s="260"/>
      <c r="D109" s="259">
        <f>PEARSON(I25:M25,I58:M58)</f>
        <v>0.95090221349292647</v>
      </c>
      <c r="E109" s="259"/>
      <c r="F109" s="269"/>
      <c r="G109" s="269"/>
      <c r="H109" s="91"/>
      <c r="I109" s="90"/>
    </row>
    <row r="110" spans="2:9" s="211" customFormat="1">
      <c r="B110" s="212" t="s">
        <v>390</v>
      </c>
      <c r="C110" s="213"/>
      <c r="D110" s="263">
        <f>PEARSON(J5:N5,J52:N52)</f>
        <v>0.55918298665793198</v>
      </c>
      <c r="E110" s="264"/>
      <c r="F110" s="210"/>
      <c r="G110" s="210"/>
      <c r="H110" s="91"/>
      <c r="I110" s="90"/>
    </row>
    <row r="111" spans="2:9">
      <c r="B111" s="256" t="s">
        <v>367</v>
      </c>
      <c r="C111" s="257"/>
      <c r="D111" s="263">
        <f>PEARSON(J6:N6,J15:N15)</f>
        <v>0.60741047357435851</v>
      </c>
      <c r="E111" s="264"/>
      <c r="F111" s="269"/>
      <c r="G111" s="269"/>
      <c r="H111" s="91"/>
      <c r="I111" s="90"/>
    </row>
    <row r="112" spans="2:9" s="218" customFormat="1">
      <c r="B112" s="256" t="s">
        <v>396</v>
      </c>
      <c r="C112" s="257"/>
      <c r="D112" s="263">
        <f>PEARSON(J6:N6,J37:N37)</f>
        <v>0.56940064769074894</v>
      </c>
      <c r="E112" s="264"/>
      <c r="F112" s="217"/>
      <c r="G112" s="217"/>
      <c r="H112" s="91"/>
      <c r="I112" s="90"/>
    </row>
    <row r="113" spans="2:9">
      <c r="B113" s="260" t="s">
        <v>353</v>
      </c>
      <c r="C113" s="260"/>
      <c r="D113" s="259">
        <f>PEARSON(J6:N6,J53:N53)</f>
        <v>0.55656328850812342</v>
      </c>
      <c r="E113" s="259"/>
      <c r="F113" s="269"/>
      <c r="G113" s="269"/>
      <c r="H113" s="91"/>
      <c r="I113" s="90"/>
    </row>
  </sheetData>
  <mergeCells count="112">
    <mergeCell ref="B100:C100"/>
    <mergeCell ref="D100:E100"/>
    <mergeCell ref="B96:C96"/>
    <mergeCell ref="D96:E96"/>
    <mergeCell ref="B93:C93"/>
    <mergeCell ref="D93:E93"/>
    <mergeCell ref="B94:C94"/>
    <mergeCell ref="D94:E94"/>
    <mergeCell ref="K77:N77"/>
    <mergeCell ref="B87:C87"/>
    <mergeCell ref="F90:G90"/>
    <mergeCell ref="D86:E86"/>
    <mergeCell ref="F86:G86"/>
    <mergeCell ref="D90:E90"/>
    <mergeCell ref="D89:E89"/>
    <mergeCell ref="F89:G89"/>
    <mergeCell ref="D88:E88"/>
    <mergeCell ref="B92:C92"/>
    <mergeCell ref="D92:E92"/>
    <mergeCell ref="B95:C95"/>
    <mergeCell ref="D95:E95"/>
    <mergeCell ref="D87:E87"/>
    <mergeCell ref="F87:G87"/>
    <mergeCell ref="F92:G92"/>
    <mergeCell ref="B113:C113"/>
    <mergeCell ref="D113:E113"/>
    <mergeCell ref="F113:G113"/>
    <mergeCell ref="B109:C109"/>
    <mergeCell ref="D109:E109"/>
    <mergeCell ref="F109:G109"/>
    <mergeCell ref="B111:C111"/>
    <mergeCell ref="D111:E111"/>
    <mergeCell ref="F111:G111"/>
    <mergeCell ref="D110:E110"/>
    <mergeCell ref="B112:C112"/>
    <mergeCell ref="D112:E112"/>
    <mergeCell ref="B107:C107"/>
    <mergeCell ref="D107:E107"/>
    <mergeCell ref="F107:G107"/>
    <mergeCell ref="B108:C108"/>
    <mergeCell ref="D108:E108"/>
    <mergeCell ref="F108:G108"/>
    <mergeCell ref="B104:C104"/>
    <mergeCell ref="F97:G97"/>
    <mergeCell ref="F99:G99"/>
    <mergeCell ref="F100:G100"/>
    <mergeCell ref="D104:E104"/>
    <mergeCell ref="F104:G104"/>
    <mergeCell ref="B106:C106"/>
    <mergeCell ref="D106:E106"/>
    <mergeCell ref="F106:G106"/>
    <mergeCell ref="B105:C105"/>
    <mergeCell ref="D105:E105"/>
    <mergeCell ref="B103:C103"/>
    <mergeCell ref="D103:E103"/>
    <mergeCell ref="F103:G103"/>
    <mergeCell ref="D102:G102"/>
    <mergeCell ref="B98:C98"/>
    <mergeCell ref="D98:E98"/>
    <mergeCell ref="F98:G98"/>
    <mergeCell ref="C74:D74"/>
    <mergeCell ref="E74:F74"/>
    <mergeCell ref="G74:H74"/>
    <mergeCell ref="D83:E83"/>
    <mergeCell ref="B83:C83"/>
    <mergeCell ref="F82:G82"/>
    <mergeCell ref="F83:G83"/>
    <mergeCell ref="F79:G79"/>
    <mergeCell ref="F81:G81"/>
    <mergeCell ref="H78:I78"/>
    <mergeCell ref="F93:G93"/>
    <mergeCell ref="F94:G94"/>
    <mergeCell ref="F95:G95"/>
    <mergeCell ref="F96:G96"/>
    <mergeCell ref="D97:E97"/>
    <mergeCell ref="D99:E99"/>
    <mergeCell ref="H86:I86"/>
    <mergeCell ref="H88:I88"/>
    <mergeCell ref="H87:I87"/>
    <mergeCell ref="B90:C90"/>
    <mergeCell ref="B88:C88"/>
    <mergeCell ref="B84:C84"/>
    <mergeCell ref="D85:E85"/>
    <mergeCell ref="B85:C85"/>
    <mergeCell ref="F85:G85"/>
    <mergeCell ref="F88:G88"/>
    <mergeCell ref="D84:E84"/>
    <mergeCell ref="F84:G84"/>
    <mergeCell ref="K74:L74"/>
    <mergeCell ref="H79:I79"/>
    <mergeCell ref="H80:I80"/>
    <mergeCell ref="H81:I81"/>
    <mergeCell ref="H82:I82"/>
    <mergeCell ref="H89:I89"/>
    <mergeCell ref="H90:I90"/>
    <mergeCell ref="I74:J74"/>
    <mergeCell ref="B78:C78"/>
    <mergeCell ref="D78:E78"/>
    <mergeCell ref="D81:E81"/>
    <mergeCell ref="D82:E82"/>
    <mergeCell ref="B79:C79"/>
    <mergeCell ref="B81:C81"/>
    <mergeCell ref="B82:C82"/>
    <mergeCell ref="D79:E79"/>
    <mergeCell ref="F78:G78"/>
    <mergeCell ref="D77:G77"/>
    <mergeCell ref="B80:C80"/>
    <mergeCell ref="D80:E80"/>
    <mergeCell ref="F80:G80"/>
    <mergeCell ref="H83:I83"/>
    <mergeCell ref="H84:I84"/>
    <mergeCell ref="H85:I85"/>
  </mergeCells>
  <pageMargins left="0.7" right="0.7" top="0.75" bottom="0.75" header="0.3" footer="0.3"/>
  <pageSetup paperSize="9" orientation="portrait" r:id="rId1"/>
  <legacyDrawing r:id="rId2"/>
  <tableParts count="6"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6"/>
  <sheetViews>
    <sheetView workbookViewId="0">
      <selection activeCell="O5" sqref="O5"/>
    </sheetView>
  </sheetViews>
  <sheetFormatPr baseColWidth="10" defaultRowHeight="15"/>
  <cols>
    <col min="2" max="2" width="22.42578125" bestFit="1" customWidth="1"/>
    <col min="3" max="5" width="12.42578125" style="143" customWidth="1"/>
    <col min="6" max="6" width="11.42578125" style="143" customWidth="1"/>
  </cols>
  <sheetData>
    <row r="2" spans="2:14" ht="23.25">
      <c r="B2" s="2" t="s">
        <v>35</v>
      </c>
      <c r="C2" s="2"/>
      <c r="D2" s="2"/>
      <c r="E2" s="2"/>
      <c r="F2" s="2"/>
    </row>
    <row r="4" spans="2:14">
      <c r="B4" s="13" t="s">
        <v>34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 t="s">
        <v>8</v>
      </c>
      <c r="K4" s="14" t="s">
        <v>9</v>
      </c>
      <c r="L4" s="14" t="s">
        <v>10</v>
      </c>
      <c r="M4" s="15" t="s">
        <v>11</v>
      </c>
      <c r="N4" s="15" t="s">
        <v>397</v>
      </c>
    </row>
    <row r="5" spans="2:14">
      <c r="B5" s="16" t="s">
        <v>2</v>
      </c>
      <c r="C5" s="17">
        <f>C7-C6</f>
        <v>1282269</v>
      </c>
      <c r="D5" s="17">
        <f t="shared" ref="D5:N5" si="0">D7-D6</f>
        <v>1017736</v>
      </c>
      <c r="E5" s="17">
        <f t="shared" si="0"/>
        <v>970365</v>
      </c>
      <c r="F5" s="17">
        <f t="shared" si="0"/>
        <v>819359</v>
      </c>
      <c r="G5" s="17">
        <f t="shared" si="0"/>
        <v>1270407</v>
      </c>
      <c r="H5" s="17">
        <f t="shared" si="0"/>
        <v>739647</v>
      </c>
      <c r="I5" s="17">
        <f t="shared" si="0"/>
        <v>749232.83000000007</v>
      </c>
      <c r="J5" s="17">
        <f t="shared" si="0"/>
        <v>664518</v>
      </c>
      <c r="K5" s="17">
        <f t="shared" si="0"/>
        <v>542755</v>
      </c>
      <c r="L5" s="17">
        <f t="shared" si="0"/>
        <v>431726.54999999981</v>
      </c>
      <c r="M5" s="17">
        <f t="shared" si="0"/>
        <v>355799</v>
      </c>
      <c r="N5" s="17">
        <f t="shared" si="0"/>
        <v>301529</v>
      </c>
    </row>
    <row r="6" spans="2:14" ht="15.75" thickBot="1">
      <c r="B6" s="16" t="s">
        <v>50</v>
      </c>
      <c r="C6" s="114">
        <v>395518</v>
      </c>
      <c r="D6" s="114">
        <v>314338</v>
      </c>
      <c r="E6" s="114">
        <v>463873</v>
      </c>
      <c r="F6" s="114">
        <v>607941</v>
      </c>
      <c r="G6" s="114">
        <v>486276</v>
      </c>
      <c r="H6" s="114">
        <v>833301</v>
      </c>
      <c r="I6" s="114">
        <v>1137495</v>
      </c>
      <c r="J6" s="114">
        <v>1250293</v>
      </c>
      <c r="K6" s="114">
        <v>1360275</v>
      </c>
      <c r="L6" s="114">
        <v>1326306.8500000001</v>
      </c>
      <c r="M6" s="114">
        <v>1306275</v>
      </c>
      <c r="N6" s="114">
        <v>1370054</v>
      </c>
    </row>
    <row r="7" spans="2:14" ht="15.75" thickTop="1">
      <c r="B7" s="5" t="s">
        <v>12</v>
      </c>
      <c r="C7" s="235">
        <v>1677787</v>
      </c>
      <c r="D7" s="235">
        <v>1332074</v>
      </c>
      <c r="E7" s="235">
        <v>1434238</v>
      </c>
      <c r="F7" s="235">
        <v>1427300</v>
      </c>
      <c r="G7" s="235">
        <v>1756683</v>
      </c>
      <c r="H7" s="235">
        <v>1572948</v>
      </c>
      <c r="I7" s="235">
        <v>1886727.83</v>
      </c>
      <c r="J7" s="235">
        <v>1914811</v>
      </c>
      <c r="K7" s="235">
        <v>1903030</v>
      </c>
      <c r="L7" s="235">
        <v>1758033.4</v>
      </c>
      <c r="M7" s="235">
        <v>1662074</v>
      </c>
      <c r="N7" s="235">
        <v>1671583</v>
      </c>
    </row>
    <row r="8" spans="2:14" s="182" customFormat="1">
      <c r="B8" s="16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2:14" s="182" customFormat="1">
      <c r="B9" s="16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31" spans="2:13" ht="23.25">
      <c r="B31" s="2" t="s">
        <v>369</v>
      </c>
      <c r="C31" s="2"/>
      <c r="D31" s="2"/>
      <c r="E31" s="2"/>
      <c r="F31" s="2"/>
      <c r="G31" s="205"/>
      <c r="H31" s="205"/>
      <c r="I31" s="205"/>
      <c r="J31" s="205"/>
      <c r="K31" s="205"/>
      <c r="L31" s="205"/>
      <c r="M31" s="205"/>
    </row>
    <row r="32" spans="2:13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2:14">
      <c r="B33" s="13" t="s">
        <v>34</v>
      </c>
      <c r="C33" s="14">
        <v>2001</v>
      </c>
      <c r="D33" s="14">
        <v>2002</v>
      </c>
      <c r="E33" s="14">
        <v>2003</v>
      </c>
      <c r="F33" s="14">
        <v>2004</v>
      </c>
      <c r="G33" s="14">
        <v>2005</v>
      </c>
      <c r="H33" s="14">
        <v>2006</v>
      </c>
      <c r="I33" s="14">
        <v>2007</v>
      </c>
      <c r="J33" s="14" t="s">
        <v>8</v>
      </c>
      <c r="K33" s="14" t="s">
        <v>9</v>
      </c>
      <c r="L33" s="14" t="s">
        <v>10</v>
      </c>
      <c r="M33" s="14">
        <v>2011</v>
      </c>
      <c r="N33" s="14">
        <v>2012</v>
      </c>
    </row>
    <row r="34" spans="2:14">
      <c r="B34" s="16" t="s">
        <v>2</v>
      </c>
      <c r="C34" s="17">
        <f>C36-C35</f>
        <v>1416145</v>
      </c>
      <c r="D34" s="17">
        <f t="shared" ref="D34:N34" si="1">D36-D35</f>
        <v>1449967</v>
      </c>
      <c r="E34" s="17">
        <f t="shared" si="1"/>
        <v>1382058</v>
      </c>
      <c r="F34" s="17">
        <f t="shared" si="1"/>
        <v>1303437</v>
      </c>
      <c r="G34" s="17">
        <f t="shared" si="1"/>
        <v>1296104</v>
      </c>
      <c r="H34" s="17">
        <f t="shared" si="1"/>
        <v>1266682</v>
      </c>
      <c r="I34" s="17">
        <f t="shared" si="1"/>
        <v>1274294</v>
      </c>
      <c r="J34" s="17">
        <f t="shared" si="1"/>
        <v>1238675</v>
      </c>
      <c r="K34" s="17">
        <f t="shared" si="1"/>
        <v>1073476</v>
      </c>
      <c r="L34" s="17">
        <f t="shared" si="1"/>
        <v>984284</v>
      </c>
      <c r="M34" s="17">
        <f t="shared" si="1"/>
        <v>856654</v>
      </c>
      <c r="N34" s="17">
        <f t="shared" si="1"/>
        <v>680104</v>
      </c>
    </row>
    <row r="35" spans="2:14" ht="15.75" thickBot="1">
      <c r="B35" s="16" t="s">
        <v>50</v>
      </c>
      <c r="C35" s="17">
        <v>226876</v>
      </c>
      <c r="D35" s="17">
        <v>281701</v>
      </c>
      <c r="E35" s="17">
        <v>429894</v>
      </c>
      <c r="F35" s="17">
        <v>534783</v>
      </c>
      <c r="G35" s="17">
        <v>686565</v>
      </c>
      <c r="H35" s="17">
        <v>811655</v>
      </c>
      <c r="I35" s="17">
        <v>895544</v>
      </c>
      <c r="J35" s="17">
        <v>1048062</v>
      </c>
      <c r="K35" s="17">
        <v>1231728</v>
      </c>
      <c r="L35" s="17">
        <v>1231708</v>
      </c>
      <c r="M35" s="17">
        <v>1228297</v>
      </c>
      <c r="N35" s="17">
        <v>1266502</v>
      </c>
    </row>
    <row r="36" spans="2:14" ht="15.75" thickTop="1">
      <c r="B36" s="5" t="s">
        <v>12</v>
      </c>
      <c r="C36" s="6">
        <v>1643021</v>
      </c>
      <c r="D36" s="6">
        <v>1731668</v>
      </c>
      <c r="E36" s="6">
        <v>1811952</v>
      </c>
      <c r="F36" s="6">
        <v>1838220</v>
      </c>
      <c r="G36" s="6">
        <v>1982669</v>
      </c>
      <c r="H36" s="6">
        <v>2078337</v>
      </c>
      <c r="I36" s="6">
        <v>2169838</v>
      </c>
      <c r="J36" s="6">
        <v>2286737</v>
      </c>
      <c r="K36" s="6">
        <v>2305204</v>
      </c>
      <c r="L36" s="6">
        <v>2215992</v>
      </c>
      <c r="M36" s="6">
        <v>2084951</v>
      </c>
      <c r="N36" s="6">
        <v>1946606</v>
      </c>
    </row>
  </sheetData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74"/>
  <sheetViews>
    <sheetView workbookViewId="0">
      <selection activeCell="Q69" sqref="Q69"/>
    </sheetView>
  </sheetViews>
  <sheetFormatPr baseColWidth="10" defaultRowHeight="15"/>
  <cols>
    <col min="2" max="2" width="54.140625" customWidth="1"/>
    <col min="3" max="3" width="13.7109375" style="170" customWidth="1"/>
    <col min="4" max="4" width="9.42578125" style="170" customWidth="1"/>
    <col min="5" max="5" width="10.140625" style="170" customWidth="1"/>
    <col min="6" max="6" width="8.140625" style="143" customWidth="1"/>
    <col min="7" max="7" width="9" style="143" customWidth="1"/>
    <col min="8" max="8" width="8.42578125" style="143" customWidth="1"/>
    <col min="9" max="9" width="7.7109375" style="143" customWidth="1"/>
    <col min="14" max="14" width="11.42578125" style="218"/>
    <col min="17" max="17" width="36.140625" customWidth="1"/>
    <col min="18" max="23" width="12.28515625" style="143" customWidth="1"/>
    <col min="24" max="24" width="11.28515625" style="143" customWidth="1"/>
  </cols>
  <sheetData>
    <row r="2" spans="2:16" ht="23.25">
      <c r="B2" s="2" t="s">
        <v>0</v>
      </c>
      <c r="C2" s="2"/>
      <c r="D2" s="2"/>
      <c r="E2" s="2"/>
      <c r="F2" s="2"/>
      <c r="G2" s="2"/>
      <c r="H2" s="2"/>
      <c r="I2" s="2"/>
    </row>
    <row r="4" spans="2:16">
      <c r="B4" s="13" t="s">
        <v>1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397</v>
      </c>
      <c r="O4" s="15" t="s">
        <v>3</v>
      </c>
      <c r="P4" s="1"/>
    </row>
    <row r="5" spans="2:16">
      <c r="B5" s="16" t="s">
        <v>4</v>
      </c>
      <c r="C5" s="144">
        <v>443</v>
      </c>
      <c r="D5" s="144">
        <v>555</v>
      </c>
      <c r="E5" s="144">
        <v>696</v>
      </c>
      <c r="F5" s="144">
        <v>937</v>
      </c>
      <c r="G5" s="144">
        <v>1110</v>
      </c>
      <c r="H5" s="144">
        <v>1243</v>
      </c>
      <c r="I5" s="144">
        <v>1503</v>
      </c>
      <c r="J5" s="17">
        <v>1567</v>
      </c>
      <c r="K5" s="17">
        <v>1834</v>
      </c>
      <c r="L5" s="17">
        <v>1891</v>
      </c>
      <c r="M5" s="17">
        <v>2151</v>
      </c>
      <c r="N5" s="17">
        <v>2118</v>
      </c>
      <c r="O5" s="18">
        <f>SUM(BBDD!C5:N5)</f>
        <v>16048</v>
      </c>
      <c r="P5" s="3"/>
    </row>
    <row r="6" spans="2:16">
      <c r="B6" s="19" t="s">
        <v>5</v>
      </c>
      <c r="C6" s="145">
        <v>10</v>
      </c>
      <c r="D6" s="145">
        <v>17</v>
      </c>
      <c r="E6" s="145">
        <v>11</v>
      </c>
      <c r="F6" s="145">
        <v>16</v>
      </c>
      <c r="G6" s="145">
        <v>15</v>
      </c>
      <c r="H6" s="145">
        <v>6</v>
      </c>
      <c r="I6" s="145">
        <v>21</v>
      </c>
      <c r="J6" s="20">
        <v>22</v>
      </c>
      <c r="K6" s="20">
        <v>28</v>
      </c>
      <c r="L6" s="20">
        <v>48</v>
      </c>
      <c r="M6" s="20">
        <v>51</v>
      </c>
      <c r="N6" s="30">
        <v>61</v>
      </c>
      <c r="O6" s="18">
        <f>SUM(BBDD!C6:N6)</f>
        <v>306</v>
      </c>
      <c r="P6" s="3"/>
    </row>
    <row r="7" spans="2:16">
      <c r="B7" s="240" t="s">
        <v>6</v>
      </c>
      <c r="C7" s="144">
        <v>34</v>
      </c>
      <c r="D7" s="144">
        <v>20</v>
      </c>
      <c r="E7" s="144">
        <v>42</v>
      </c>
      <c r="F7" s="144">
        <v>36</v>
      </c>
      <c r="G7" s="144">
        <v>44</v>
      </c>
      <c r="H7" s="144">
        <v>56</v>
      </c>
      <c r="I7" s="144">
        <v>69</v>
      </c>
      <c r="J7" s="17">
        <v>67</v>
      </c>
      <c r="K7" s="17">
        <v>71</v>
      </c>
      <c r="L7" s="17">
        <v>63</v>
      </c>
      <c r="M7" s="17">
        <v>83</v>
      </c>
      <c r="N7" s="17">
        <v>85</v>
      </c>
      <c r="O7" s="18">
        <f>SUM(BBDD!C7:N7)</f>
        <v>670</v>
      </c>
      <c r="P7" s="3"/>
    </row>
    <row r="8" spans="2:16" s="222" customFormat="1">
      <c r="B8" s="239" t="s">
        <v>404</v>
      </c>
      <c r="C8" s="237"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8">
        <v>0</v>
      </c>
      <c r="K8" s="238">
        <v>0</v>
      </c>
      <c r="L8" s="238">
        <v>5</v>
      </c>
      <c r="M8" s="238">
        <v>15</v>
      </c>
      <c r="N8" s="238">
        <v>24</v>
      </c>
      <c r="O8" s="18">
        <f>SUM(BBDD!C8:N8)</f>
        <v>44</v>
      </c>
      <c r="P8" s="3"/>
    </row>
    <row r="9" spans="2:16" ht="15.75" thickBot="1">
      <c r="B9" s="241" t="s">
        <v>7</v>
      </c>
      <c r="C9" s="146">
        <v>0</v>
      </c>
      <c r="D9" s="146">
        <v>0</v>
      </c>
      <c r="E9" s="146">
        <v>2</v>
      </c>
      <c r="F9" s="146">
        <v>0</v>
      </c>
      <c r="G9" s="146">
        <v>1</v>
      </c>
      <c r="H9" s="146">
        <v>5</v>
      </c>
      <c r="I9" s="77">
        <v>9</v>
      </c>
      <c r="J9" s="30">
        <v>15</v>
      </c>
      <c r="K9" s="30">
        <v>15</v>
      </c>
      <c r="L9" s="30">
        <v>6</v>
      </c>
      <c r="M9" s="30">
        <v>15</v>
      </c>
      <c r="N9" s="30">
        <v>26</v>
      </c>
      <c r="O9" s="18">
        <f>SUM(BBDD!C9:N9)</f>
        <v>94</v>
      </c>
      <c r="P9" s="3"/>
    </row>
    <row r="10" spans="2:16" ht="15.75" thickTop="1">
      <c r="B10" s="5" t="s">
        <v>12</v>
      </c>
      <c r="C10" s="154">
        <f t="shared" ref="C10:E10" si="0">SUM(C5:C9)</f>
        <v>487</v>
      </c>
      <c r="D10" s="154">
        <f t="shared" si="0"/>
        <v>592</v>
      </c>
      <c r="E10" s="154">
        <f t="shared" si="0"/>
        <v>751</v>
      </c>
      <c r="F10" s="154">
        <f>SUM(F5:F9)</f>
        <v>989</v>
      </c>
      <c r="G10" s="154">
        <f t="shared" ref="G10:N10" si="1">SUM(G5:G9)</f>
        <v>1170</v>
      </c>
      <c r="H10" s="154">
        <f t="shared" si="1"/>
        <v>1310</v>
      </c>
      <c r="I10" s="154">
        <f t="shared" si="1"/>
        <v>1602</v>
      </c>
      <c r="J10" s="154">
        <f t="shared" si="1"/>
        <v>1671</v>
      </c>
      <c r="K10" s="154">
        <f t="shared" si="1"/>
        <v>1948</v>
      </c>
      <c r="L10" s="154">
        <f t="shared" si="1"/>
        <v>2013</v>
      </c>
      <c r="M10" s="154">
        <f t="shared" si="1"/>
        <v>2315</v>
      </c>
      <c r="N10" s="154">
        <f t="shared" si="1"/>
        <v>2314</v>
      </c>
      <c r="O10" s="154">
        <f>SUM(BBDD!C10:M10)</f>
        <v>14848</v>
      </c>
      <c r="P10" s="3"/>
    </row>
    <row r="13" spans="2:16" ht="23.25">
      <c r="B13" s="2" t="s">
        <v>13</v>
      </c>
      <c r="C13" s="2"/>
      <c r="D13" s="2"/>
      <c r="E13" s="2"/>
      <c r="F13" s="2"/>
      <c r="G13" s="2"/>
      <c r="H13" s="2"/>
      <c r="I13" s="2"/>
    </row>
    <row r="15" spans="2:16">
      <c r="B15" s="31" t="s">
        <v>1</v>
      </c>
      <c r="C15" s="32">
        <v>2001</v>
      </c>
      <c r="D15" s="32">
        <v>2002</v>
      </c>
      <c r="E15" s="32">
        <v>2003</v>
      </c>
      <c r="F15" s="32">
        <v>2004</v>
      </c>
      <c r="G15" s="32">
        <v>2005</v>
      </c>
      <c r="H15" s="32">
        <v>2006</v>
      </c>
      <c r="I15" s="32">
        <v>2007</v>
      </c>
      <c r="J15" s="32" t="s">
        <v>8</v>
      </c>
      <c r="K15" s="32" t="s">
        <v>9</v>
      </c>
      <c r="L15" s="32" t="s">
        <v>10</v>
      </c>
      <c r="M15" s="32" t="s">
        <v>11</v>
      </c>
      <c r="N15" s="32" t="s">
        <v>397</v>
      </c>
      <c r="O15" s="33" t="s">
        <v>3</v>
      </c>
      <c r="P15" s="1"/>
    </row>
    <row r="16" spans="2:16">
      <c r="B16" s="34" t="s">
        <v>14</v>
      </c>
      <c r="C16" s="155"/>
      <c r="D16" s="155"/>
      <c r="E16" s="155"/>
      <c r="F16" s="155"/>
      <c r="G16" s="155"/>
      <c r="H16" s="155"/>
      <c r="I16" s="155"/>
      <c r="J16" s="35">
        <v>79</v>
      </c>
      <c r="K16" s="35">
        <v>56</v>
      </c>
      <c r="L16" s="35">
        <v>79</v>
      </c>
      <c r="M16" s="35">
        <v>224</v>
      </c>
      <c r="N16" s="35"/>
      <c r="O16" s="36">
        <f>SUM(BBDD!F16:M16)</f>
        <v>438</v>
      </c>
      <c r="P16" s="3"/>
    </row>
    <row r="17" spans="2:16">
      <c r="B17" s="37" t="s">
        <v>15</v>
      </c>
      <c r="C17" s="156"/>
      <c r="D17" s="156"/>
      <c r="E17" s="156"/>
      <c r="F17" s="156"/>
      <c r="G17" s="156"/>
      <c r="H17" s="156"/>
      <c r="I17" s="156"/>
      <c r="J17" s="38">
        <v>241</v>
      </c>
      <c r="K17" s="38">
        <v>11</v>
      </c>
      <c r="L17" s="38">
        <v>3</v>
      </c>
      <c r="M17" s="38">
        <v>9</v>
      </c>
      <c r="N17" s="38"/>
      <c r="O17" s="38">
        <f>SUM(BBDD!F17:M17)</f>
        <v>264</v>
      </c>
      <c r="P17" s="3"/>
    </row>
    <row r="18" spans="2:16">
      <c r="B18" s="34" t="s">
        <v>16</v>
      </c>
      <c r="C18" s="155"/>
      <c r="D18" s="155"/>
      <c r="E18" s="155"/>
      <c r="F18" s="155"/>
      <c r="G18" s="155"/>
      <c r="H18" s="155"/>
      <c r="I18" s="155"/>
      <c r="J18" s="35">
        <v>20</v>
      </c>
      <c r="K18" s="35">
        <v>28</v>
      </c>
      <c r="L18" s="35">
        <v>29</v>
      </c>
      <c r="M18" s="35">
        <v>20</v>
      </c>
      <c r="N18" s="35"/>
      <c r="O18" s="36">
        <f>SUM(BBDD!F18:M18)</f>
        <v>97</v>
      </c>
      <c r="P18" s="3"/>
    </row>
    <row r="19" spans="2:16">
      <c r="B19" s="37" t="s">
        <v>18</v>
      </c>
      <c r="C19" s="156"/>
      <c r="D19" s="156"/>
      <c r="E19" s="156"/>
      <c r="F19" s="156"/>
      <c r="G19" s="156"/>
      <c r="H19" s="156"/>
      <c r="I19" s="156"/>
      <c r="J19" s="38">
        <v>19</v>
      </c>
      <c r="K19" s="38">
        <v>21</v>
      </c>
      <c r="L19" s="38">
        <v>115</v>
      </c>
      <c r="M19" s="38">
        <v>15</v>
      </c>
      <c r="N19" s="38"/>
      <c r="O19" s="38">
        <f>SUM(BBDD!F19:M19)</f>
        <v>170</v>
      </c>
      <c r="P19" s="3"/>
    </row>
    <row r="20" spans="2:16">
      <c r="B20" s="34" t="s">
        <v>19</v>
      </c>
      <c r="C20" s="155"/>
      <c r="D20" s="155"/>
      <c r="E20" s="155"/>
      <c r="F20" s="155"/>
      <c r="G20" s="155"/>
      <c r="H20" s="155"/>
      <c r="I20" s="155"/>
      <c r="J20" s="35">
        <v>76</v>
      </c>
      <c r="K20" s="35">
        <v>0</v>
      </c>
      <c r="L20" s="35">
        <v>0</v>
      </c>
      <c r="M20" s="35">
        <v>0</v>
      </c>
      <c r="N20" s="35"/>
      <c r="O20" s="36">
        <f>SUM(BBDD!F20:M20)</f>
        <v>76</v>
      </c>
      <c r="P20" s="3"/>
    </row>
    <row r="21" spans="2:16">
      <c r="B21" s="37" t="s">
        <v>20</v>
      </c>
      <c r="C21" s="156"/>
      <c r="D21" s="156"/>
      <c r="E21" s="156"/>
      <c r="F21" s="156"/>
      <c r="G21" s="156"/>
      <c r="H21" s="156"/>
      <c r="I21" s="156"/>
      <c r="J21" s="38">
        <v>3</v>
      </c>
      <c r="K21" s="38">
        <v>18</v>
      </c>
      <c r="L21" s="38">
        <v>28</v>
      </c>
      <c r="M21" s="38">
        <v>19</v>
      </c>
      <c r="N21" s="38"/>
      <c r="O21" s="38">
        <f>SUM(BBDD!F21:M21)</f>
        <v>68</v>
      </c>
      <c r="P21" s="3"/>
    </row>
    <row r="22" spans="2:16">
      <c r="B22" s="34" t="s">
        <v>28</v>
      </c>
      <c r="C22" s="155"/>
      <c r="D22" s="155"/>
      <c r="E22" s="155"/>
      <c r="F22" s="155"/>
      <c r="G22" s="155"/>
      <c r="H22" s="155"/>
      <c r="I22" s="155"/>
      <c r="J22" s="35">
        <v>12</v>
      </c>
      <c r="K22" s="35">
        <v>25</v>
      </c>
      <c r="L22" s="35">
        <v>24</v>
      </c>
      <c r="M22" s="35">
        <v>27</v>
      </c>
      <c r="N22" s="35"/>
      <c r="O22" s="36">
        <f>SUM(BBDD!F22:M22)</f>
        <v>88</v>
      </c>
      <c r="P22" s="3"/>
    </row>
    <row r="23" spans="2:16">
      <c r="B23" s="37" t="s">
        <v>23</v>
      </c>
      <c r="C23" s="156"/>
      <c r="D23" s="156"/>
      <c r="E23" s="156"/>
      <c r="F23" s="156"/>
      <c r="G23" s="156"/>
      <c r="H23" s="156"/>
      <c r="I23" s="156"/>
      <c r="J23" s="38">
        <v>6</v>
      </c>
      <c r="K23" s="38">
        <v>13</v>
      </c>
      <c r="L23" s="38">
        <v>21</v>
      </c>
      <c r="M23" s="38">
        <v>15</v>
      </c>
      <c r="N23" s="38"/>
      <c r="O23" s="38">
        <f>SUM(BBDD!F23:M23)</f>
        <v>55</v>
      </c>
      <c r="P23" s="3"/>
    </row>
    <row r="24" spans="2:16">
      <c r="B24" s="34" t="s">
        <v>22</v>
      </c>
      <c r="C24" s="155"/>
      <c r="D24" s="155"/>
      <c r="E24" s="155"/>
      <c r="F24" s="155"/>
      <c r="G24" s="155"/>
      <c r="H24" s="155"/>
      <c r="I24" s="155"/>
      <c r="J24" s="35">
        <v>14</v>
      </c>
      <c r="K24" s="35">
        <v>17</v>
      </c>
      <c r="L24" s="35">
        <v>12</v>
      </c>
      <c r="M24" s="35">
        <v>15</v>
      </c>
      <c r="N24" s="35"/>
      <c r="O24" s="36">
        <f>SUM(BBDD!F24:M24)</f>
        <v>58</v>
      </c>
      <c r="P24" s="3"/>
    </row>
    <row r="25" spans="2:16">
      <c r="B25" s="37" t="s">
        <v>21</v>
      </c>
      <c r="C25" s="156"/>
      <c r="D25" s="156"/>
      <c r="E25" s="156"/>
      <c r="F25" s="156"/>
      <c r="G25" s="156"/>
      <c r="H25" s="156"/>
      <c r="I25" s="156"/>
      <c r="J25" s="38">
        <v>9</v>
      </c>
      <c r="K25" s="38">
        <v>22</v>
      </c>
      <c r="L25" s="38">
        <v>18</v>
      </c>
      <c r="M25" s="38">
        <v>15</v>
      </c>
      <c r="N25" s="38"/>
      <c r="O25" s="38">
        <f>SUM(BBDD!F25:M25)</f>
        <v>64</v>
      </c>
      <c r="P25" s="3"/>
    </row>
    <row r="26" spans="2:16">
      <c r="B26" s="34" t="s">
        <v>17</v>
      </c>
      <c r="C26" s="155"/>
      <c r="D26" s="155"/>
      <c r="E26" s="155"/>
      <c r="F26" s="155"/>
      <c r="G26" s="155"/>
      <c r="H26" s="155"/>
      <c r="I26" s="155"/>
      <c r="J26" s="35">
        <v>17</v>
      </c>
      <c r="K26" s="35">
        <v>21</v>
      </c>
      <c r="L26" s="35">
        <v>26</v>
      </c>
      <c r="M26" s="35">
        <v>17</v>
      </c>
      <c r="N26" s="35"/>
      <c r="O26" s="36">
        <f>SUM(BBDD!F26:M26)</f>
        <v>81</v>
      </c>
      <c r="P26" s="3"/>
    </row>
    <row r="27" spans="2:16">
      <c r="B27" s="37" t="s">
        <v>24</v>
      </c>
      <c r="C27" s="156"/>
      <c r="D27" s="156"/>
      <c r="E27" s="156"/>
      <c r="F27" s="156"/>
      <c r="G27" s="156"/>
      <c r="H27" s="156"/>
      <c r="I27" s="156"/>
      <c r="J27" s="38">
        <v>0</v>
      </c>
      <c r="K27" s="38">
        <v>40</v>
      </c>
      <c r="L27" s="38">
        <v>7</v>
      </c>
      <c r="M27" s="38">
        <v>4</v>
      </c>
      <c r="N27" s="38"/>
      <c r="O27" s="38">
        <f>SUM(BBDD!F27:M27)</f>
        <v>51</v>
      </c>
      <c r="P27" s="3"/>
    </row>
    <row r="28" spans="2:16">
      <c r="B28" s="34" t="s">
        <v>25</v>
      </c>
      <c r="C28" s="155"/>
      <c r="D28" s="155"/>
      <c r="E28" s="155"/>
      <c r="F28" s="155"/>
      <c r="G28" s="155"/>
      <c r="H28" s="155"/>
      <c r="I28" s="155"/>
      <c r="J28" s="35">
        <v>1</v>
      </c>
      <c r="K28" s="35">
        <v>8</v>
      </c>
      <c r="L28" s="35">
        <v>23</v>
      </c>
      <c r="M28" s="35">
        <v>18</v>
      </c>
      <c r="N28" s="35"/>
      <c r="O28" s="36">
        <f>SUM(BBDD!F28:M28)</f>
        <v>50</v>
      </c>
      <c r="P28" s="3"/>
    </row>
    <row r="29" spans="2:16">
      <c r="B29" s="37" t="s">
        <v>26</v>
      </c>
      <c r="C29" s="156"/>
      <c r="D29" s="156"/>
      <c r="E29" s="156"/>
      <c r="F29" s="156"/>
      <c r="G29" s="156"/>
      <c r="H29" s="156"/>
      <c r="I29" s="156"/>
      <c r="J29" s="38">
        <v>8</v>
      </c>
      <c r="K29" s="38">
        <v>14</v>
      </c>
      <c r="L29" s="38">
        <v>11</v>
      </c>
      <c r="M29" s="38">
        <v>27</v>
      </c>
      <c r="N29" s="38"/>
      <c r="O29" s="38">
        <f>SUM(BBDD!F29:M29)</f>
        <v>60</v>
      </c>
      <c r="P29" s="3"/>
    </row>
    <row r="30" spans="2:16">
      <c r="B30" s="34" t="s">
        <v>29</v>
      </c>
      <c r="C30" s="155"/>
      <c r="D30" s="155"/>
      <c r="E30" s="155"/>
      <c r="F30" s="155"/>
      <c r="G30" s="155"/>
      <c r="H30" s="155"/>
      <c r="I30" s="155"/>
      <c r="J30" s="35">
        <v>8</v>
      </c>
      <c r="K30" s="35">
        <v>15</v>
      </c>
      <c r="L30" s="35">
        <v>10</v>
      </c>
      <c r="M30" s="35">
        <v>13</v>
      </c>
      <c r="N30" s="35"/>
      <c r="O30" s="36">
        <f>SUM(BBDD!F30:M30)</f>
        <v>46</v>
      </c>
      <c r="P30" s="3"/>
    </row>
    <row r="31" spans="2:16" ht="15.75" thickBot="1">
      <c r="B31" s="39" t="s">
        <v>27</v>
      </c>
      <c r="C31" s="146"/>
      <c r="D31" s="146"/>
      <c r="E31" s="146"/>
      <c r="F31" s="146"/>
      <c r="G31" s="146"/>
      <c r="H31" s="146"/>
      <c r="I31" s="146"/>
      <c r="J31" s="30">
        <v>8</v>
      </c>
      <c r="K31" s="30">
        <v>10</v>
      </c>
      <c r="L31" s="30">
        <v>17</v>
      </c>
      <c r="M31" s="30">
        <v>10</v>
      </c>
      <c r="N31" s="30"/>
      <c r="O31" s="38">
        <f>SUM(BBDD!F31:M31)</f>
        <v>45</v>
      </c>
      <c r="P31" s="3"/>
    </row>
    <row r="32" spans="2:16" ht="15.75" thickTop="1">
      <c r="B32" s="40" t="s">
        <v>12</v>
      </c>
      <c r="C32" s="157"/>
      <c r="D32" s="157"/>
      <c r="E32" s="157"/>
      <c r="F32" s="157"/>
      <c r="G32" s="157"/>
      <c r="H32" s="157"/>
      <c r="I32" s="157"/>
      <c r="J32" s="41">
        <f>SUBTOTAL(109,BBDD!$J$16:$J$31)</f>
        <v>521</v>
      </c>
      <c r="K32" s="41">
        <f>SUBTOTAL(109,BBDD!$K$16:$K$31)</f>
        <v>319</v>
      </c>
      <c r="L32" s="41">
        <f>SUBTOTAL(109,BBDD!$L$16:$L$31)</f>
        <v>423</v>
      </c>
      <c r="M32" s="41">
        <f>SUBTOTAL(109,BBDD!$M$16:$M$31)</f>
        <v>448</v>
      </c>
      <c r="N32" s="41"/>
      <c r="O32" s="42">
        <f>SUBTOTAL(109,BBDD!$O$16:$O$31)</f>
        <v>1711</v>
      </c>
      <c r="P32" s="3"/>
    </row>
    <row r="35" spans="2:17" ht="23.25">
      <c r="B35" s="2" t="s">
        <v>36</v>
      </c>
      <c r="C35" s="2"/>
      <c r="D35" s="2"/>
      <c r="E35" s="2"/>
      <c r="F35" s="2"/>
      <c r="G35" s="2"/>
      <c r="H35" s="2"/>
      <c r="I35" s="2"/>
    </row>
    <row r="37" spans="2:17">
      <c r="B37" s="7" t="s">
        <v>1</v>
      </c>
      <c r="C37" s="8">
        <v>2001</v>
      </c>
      <c r="D37" s="8">
        <v>2002</v>
      </c>
      <c r="E37" s="8">
        <v>2003</v>
      </c>
      <c r="F37" s="8">
        <v>2004</v>
      </c>
      <c r="G37" s="8">
        <v>2005</v>
      </c>
      <c r="H37" s="8">
        <v>2006</v>
      </c>
      <c r="I37" s="8">
        <v>2007</v>
      </c>
      <c r="J37" s="8" t="s">
        <v>8</v>
      </c>
      <c r="K37" s="8" t="s">
        <v>9</v>
      </c>
      <c r="L37" s="8" t="s">
        <v>10</v>
      </c>
      <c r="M37" s="8" t="s">
        <v>11</v>
      </c>
      <c r="N37" s="8" t="s">
        <v>397</v>
      </c>
      <c r="O37" s="9" t="s">
        <v>3</v>
      </c>
    </row>
    <row r="38" spans="2:17" ht="15.75" thickBot="1">
      <c r="B38" s="181" t="s">
        <v>361</v>
      </c>
      <c r="C38" s="183">
        <v>149</v>
      </c>
      <c r="D38" s="183">
        <v>179</v>
      </c>
      <c r="E38" s="183">
        <v>203</v>
      </c>
      <c r="F38" s="161">
        <v>235</v>
      </c>
      <c r="G38" s="161">
        <v>225</v>
      </c>
      <c r="H38" s="161">
        <v>245</v>
      </c>
      <c r="I38" s="161">
        <v>254</v>
      </c>
      <c r="J38" s="53">
        <v>285</v>
      </c>
      <c r="K38" s="53">
        <v>380</v>
      </c>
      <c r="L38" s="53">
        <v>461</v>
      </c>
      <c r="M38" s="53">
        <v>511</v>
      </c>
      <c r="N38" s="53">
        <v>542</v>
      </c>
      <c r="O38" s="54">
        <f>SUM(BBDD!$C38:$N38)</f>
        <v>3669</v>
      </c>
    </row>
    <row r="39" spans="2:17" ht="15.75" thickTop="1">
      <c r="B39" s="12" t="s">
        <v>12</v>
      </c>
      <c r="C39" s="162">
        <f t="shared" ref="C39:E39" si="2">C38</f>
        <v>149</v>
      </c>
      <c r="D39" s="162">
        <f t="shared" si="2"/>
        <v>179</v>
      </c>
      <c r="E39" s="162">
        <f t="shared" si="2"/>
        <v>203</v>
      </c>
      <c r="F39" s="162">
        <f>F38</f>
        <v>235</v>
      </c>
      <c r="G39" s="162">
        <f t="shared" ref="G39:O39" si="3">G38</f>
        <v>225</v>
      </c>
      <c r="H39" s="162">
        <f t="shared" si="3"/>
        <v>245</v>
      </c>
      <c r="I39" s="162">
        <f t="shared" si="3"/>
        <v>254</v>
      </c>
      <c r="J39" s="162">
        <f t="shared" si="3"/>
        <v>285</v>
      </c>
      <c r="K39" s="162">
        <f t="shared" si="3"/>
        <v>380</v>
      </c>
      <c r="L39" s="162">
        <f t="shared" si="3"/>
        <v>461</v>
      </c>
      <c r="M39" s="162">
        <f t="shared" si="3"/>
        <v>511</v>
      </c>
      <c r="N39" s="162">
        <f t="shared" si="3"/>
        <v>542</v>
      </c>
      <c r="O39" s="162">
        <f t="shared" si="3"/>
        <v>3669</v>
      </c>
    </row>
    <row r="42" spans="2:17" ht="23.25">
      <c r="B42" s="2" t="s">
        <v>47</v>
      </c>
      <c r="C42" s="2"/>
      <c r="D42" s="2"/>
      <c r="E42" s="2"/>
      <c r="F42" s="2"/>
      <c r="G42" s="2"/>
      <c r="H42" s="2"/>
      <c r="I42" s="2"/>
    </row>
    <row r="43" spans="2:17">
      <c r="Q43" s="142"/>
    </row>
    <row r="44" spans="2:17">
      <c r="B44" s="55" t="s">
        <v>1</v>
      </c>
      <c r="C44" s="56">
        <v>2001</v>
      </c>
      <c r="D44" s="56">
        <v>2002</v>
      </c>
      <c r="E44" s="56">
        <v>2003</v>
      </c>
      <c r="F44" s="56">
        <v>2004</v>
      </c>
      <c r="G44" s="56">
        <v>2005</v>
      </c>
      <c r="H44" s="56">
        <v>2006</v>
      </c>
      <c r="I44" s="56">
        <v>2007</v>
      </c>
      <c r="J44" s="56" t="s">
        <v>8</v>
      </c>
      <c r="K44" s="56" t="s">
        <v>9</v>
      </c>
      <c r="L44" s="56" t="s">
        <v>10</v>
      </c>
      <c r="M44" s="57" t="s">
        <v>11</v>
      </c>
      <c r="N44" s="57" t="s">
        <v>397</v>
      </c>
      <c r="O44" s="57" t="s">
        <v>3</v>
      </c>
    </row>
    <row r="45" spans="2:17">
      <c r="B45" s="201" t="s">
        <v>38</v>
      </c>
      <c r="C45" s="163">
        <v>536</v>
      </c>
      <c r="D45" s="163">
        <v>596</v>
      </c>
      <c r="E45" s="163">
        <v>731</v>
      </c>
      <c r="F45" s="163">
        <v>866</v>
      </c>
      <c r="G45" s="163">
        <v>987</v>
      </c>
      <c r="H45" s="163">
        <v>1056</v>
      </c>
      <c r="I45" s="163">
        <v>1271</v>
      </c>
      <c r="J45" s="59">
        <v>1355</v>
      </c>
      <c r="K45" s="59">
        <v>1568</v>
      </c>
      <c r="L45" s="59">
        <v>1461</v>
      </c>
      <c r="M45" s="59">
        <v>1739</v>
      </c>
      <c r="N45" s="59">
        <v>1661</v>
      </c>
      <c r="O45" s="60">
        <f>SUM(BBDD!C45:N45)</f>
        <v>13827</v>
      </c>
    </row>
    <row r="46" spans="2:17">
      <c r="B46" s="242" t="s">
        <v>39</v>
      </c>
      <c r="C46" s="164">
        <v>14</v>
      </c>
      <c r="D46" s="164">
        <v>14</v>
      </c>
      <c r="E46" s="164">
        <v>21</v>
      </c>
      <c r="F46" s="164">
        <v>25</v>
      </c>
      <c r="G46" s="164">
        <v>31</v>
      </c>
      <c r="H46" s="164">
        <v>23</v>
      </c>
      <c r="I46" s="164">
        <v>27</v>
      </c>
      <c r="J46" s="61">
        <v>18</v>
      </c>
      <c r="K46" s="61">
        <v>19</v>
      </c>
      <c r="L46" s="61">
        <v>19</v>
      </c>
      <c r="M46" s="61">
        <v>20</v>
      </c>
      <c r="N46" s="61">
        <v>17</v>
      </c>
      <c r="O46" s="60">
        <f>SUM(BBDD!C46:N46)</f>
        <v>248</v>
      </c>
    </row>
    <row r="47" spans="2:17">
      <c r="B47" s="201" t="s">
        <v>40</v>
      </c>
      <c r="C47" s="163">
        <v>0</v>
      </c>
      <c r="D47" s="163"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59">
        <v>0</v>
      </c>
      <c r="K47" s="59">
        <v>0</v>
      </c>
      <c r="L47" s="59">
        <v>1</v>
      </c>
      <c r="M47" s="59">
        <v>0</v>
      </c>
      <c r="N47" s="59">
        <v>1</v>
      </c>
      <c r="O47" s="60">
        <f>SUM(BBDD!C47:N47)</f>
        <v>2</v>
      </c>
    </row>
    <row r="48" spans="2:17" ht="15.75" thickBot="1">
      <c r="B48" s="62" t="s">
        <v>41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1</v>
      </c>
      <c r="J48" s="63">
        <v>0</v>
      </c>
      <c r="K48" s="63">
        <v>2</v>
      </c>
      <c r="L48" s="63">
        <v>0</v>
      </c>
      <c r="M48" s="63">
        <v>1</v>
      </c>
      <c r="N48" s="63">
        <v>1</v>
      </c>
      <c r="O48" s="60">
        <f>SUM(BBDD!C48:N48)</f>
        <v>5</v>
      </c>
    </row>
    <row r="49" spans="2:15" ht="15.75" thickTop="1">
      <c r="B49" s="190" t="s">
        <v>12</v>
      </c>
      <c r="C49" s="191">
        <f t="shared" ref="C49:E49" si="4">SUM(C45:C48)</f>
        <v>550</v>
      </c>
      <c r="D49" s="191">
        <f t="shared" si="4"/>
        <v>610</v>
      </c>
      <c r="E49" s="191">
        <f t="shared" si="4"/>
        <v>752</v>
      </c>
      <c r="F49" s="191">
        <f>SUM(F45:F48)</f>
        <v>891</v>
      </c>
      <c r="G49" s="191">
        <f t="shared" ref="G49:O49" si="5">SUM(G45:G48)</f>
        <v>1018</v>
      </c>
      <c r="H49" s="191">
        <f t="shared" si="5"/>
        <v>1079</v>
      </c>
      <c r="I49" s="191">
        <f t="shared" si="5"/>
        <v>1299</v>
      </c>
      <c r="J49" s="191">
        <f t="shared" si="5"/>
        <v>1373</v>
      </c>
      <c r="K49" s="191">
        <f t="shared" si="5"/>
        <v>1589</v>
      </c>
      <c r="L49" s="191">
        <f t="shared" si="5"/>
        <v>1481</v>
      </c>
      <c r="M49" s="191">
        <f t="shared" si="5"/>
        <v>1760</v>
      </c>
      <c r="N49" s="191">
        <f t="shared" si="5"/>
        <v>1680</v>
      </c>
      <c r="O49" s="191">
        <f t="shared" si="5"/>
        <v>14082</v>
      </c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2" spans="2:15" ht="23.25">
      <c r="B52" s="2" t="s">
        <v>42</v>
      </c>
      <c r="C52" s="2"/>
      <c r="D52" s="2"/>
      <c r="E52" s="2"/>
      <c r="F52" s="2"/>
      <c r="G52" s="2"/>
      <c r="H52" s="2"/>
      <c r="I52" s="2"/>
    </row>
    <row r="53" spans="2:15" ht="23.25">
      <c r="B53" s="2"/>
      <c r="C53" s="2"/>
      <c r="D53" s="2"/>
      <c r="E53" s="2"/>
      <c r="F53" s="2"/>
      <c r="G53" s="2"/>
      <c r="H53" s="2"/>
      <c r="I53" s="2"/>
    </row>
    <row r="54" spans="2:15">
      <c r="B54" s="64" t="s">
        <v>43</v>
      </c>
      <c r="C54" s="65">
        <v>2001</v>
      </c>
      <c r="D54" s="65">
        <v>2002</v>
      </c>
      <c r="E54" s="65">
        <v>2003</v>
      </c>
      <c r="F54" s="65">
        <v>2004</v>
      </c>
      <c r="G54" s="65">
        <v>2005</v>
      </c>
      <c r="H54" s="65">
        <v>2006</v>
      </c>
      <c r="I54" s="65">
        <v>2007</v>
      </c>
      <c r="J54" s="65" t="s">
        <v>8</v>
      </c>
      <c r="K54" s="65" t="s">
        <v>9</v>
      </c>
      <c r="L54" s="65" t="s">
        <v>10</v>
      </c>
      <c r="M54" s="65" t="s">
        <v>11</v>
      </c>
      <c r="N54" s="65" t="s">
        <v>397</v>
      </c>
      <c r="O54" s="66" t="s">
        <v>3</v>
      </c>
    </row>
    <row r="55" spans="2:15">
      <c r="B55" s="67" t="s">
        <v>44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9</v>
      </c>
      <c r="N55" s="68">
        <v>37</v>
      </c>
      <c r="O55" s="69">
        <f>SUM(BBDD!$C55:$N55)</f>
        <v>46</v>
      </c>
    </row>
    <row r="56" spans="2:15">
      <c r="B56" s="70" t="s">
        <v>45</v>
      </c>
      <c r="C56" s="165">
        <v>7</v>
      </c>
      <c r="D56" s="165">
        <v>13</v>
      </c>
      <c r="E56" s="165">
        <v>12</v>
      </c>
      <c r="F56" s="165">
        <v>11</v>
      </c>
      <c r="G56" s="165">
        <v>10</v>
      </c>
      <c r="H56" s="165">
        <v>8</v>
      </c>
      <c r="I56" s="165">
        <v>5</v>
      </c>
      <c r="J56" s="71">
        <v>6</v>
      </c>
      <c r="K56" s="71">
        <v>1</v>
      </c>
      <c r="L56" s="71">
        <v>6</v>
      </c>
      <c r="M56" s="71">
        <v>7</v>
      </c>
      <c r="N56" s="71">
        <v>9</v>
      </c>
      <c r="O56" s="72">
        <f>SUM(BBDD!$C56:$N56)</f>
        <v>95</v>
      </c>
    </row>
    <row r="57" spans="2:15" ht="15.75" thickBot="1">
      <c r="B57" s="73" t="s">
        <v>46</v>
      </c>
      <c r="C57" s="74">
        <v>2</v>
      </c>
      <c r="D57" s="74">
        <v>0</v>
      </c>
      <c r="E57" s="74">
        <v>1</v>
      </c>
      <c r="F57" s="74">
        <v>1</v>
      </c>
      <c r="G57" s="74">
        <v>1</v>
      </c>
      <c r="H57" s="74">
        <v>13</v>
      </c>
      <c r="I57" s="74">
        <v>21</v>
      </c>
      <c r="J57" s="74">
        <v>12</v>
      </c>
      <c r="K57" s="74">
        <v>31</v>
      </c>
      <c r="L57" s="74">
        <v>49</v>
      </c>
      <c r="M57" s="74">
        <v>56</v>
      </c>
      <c r="N57" s="74">
        <v>22</v>
      </c>
      <c r="O57" s="75">
        <f>SUM(BBDD!$C57:$N57)</f>
        <v>209</v>
      </c>
    </row>
    <row r="58" spans="2:15" ht="15.75" thickTop="1">
      <c r="B58" s="76" t="s">
        <v>12</v>
      </c>
      <c r="C58" s="166">
        <f t="shared" ref="C58:E58" si="6">SUM(C55:C57)</f>
        <v>9</v>
      </c>
      <c r="D58" s="166">
        <f t="shared" si="6"/>
        <v>13</v>
      </c>
      <c r="E58" s="166">
        <f t="shared" si="6"/>
        <v>13</v>
      </c>
      <c r="F58" s="166">
        <f>SUM(F55:F57)</f>
        <v>12</v>
      </c>
      <c r="G58" s="166">
        <f t="shared" ref="G58:O58" si="7">SUM(G55:G57)</f>
        <v>11</v>
      </c>
      <c r="H58" s="166">
        <f t="shared" si="7"/>
        <v>21</v>
      </c>
      <c r="I58" s="166">
        <f t="shared" si="7"/>
        <v>26</v>
      </c>
      <c r="J58" s="166">
        <f t="shared" si="7"/>
        <v>18</v>
      </c>
      <c r="K58" s="166">
        <f t="shared" si="7"/>
        <v>32</v>
      </c>
      <c r="L58" s="166">
        <f t="shared" si="7"/>
        <v>55</v>
      </c>
      <c r="M58" s="166">
        <f t="shared" si="7"/>
        <v>72</v>
      </c>
      <c r="N58" s="166">
        <f t="shared" si="7"/>
        <v>68</v>
      </c>
      <c r="O58" s="166">
        <f t="shared" si="7"/>
        <v>350</v>
      </c>
    </row>
    <row r="61" spans="2:15" ht="23.25">
      <c r="B61" s="2" t="s">
        <v>354</v>
      </c>
      <c r="C61" s="2"/>
      <c r="D61" s="2"/>
      <c r="E61" s="2"/>
      <c r="F61" s="2"/>
      <c r="G61" s="2"/>
      <c r="H61" s="2"/>
      <c r="I61" s="2"/>
    </row>
    <row r="63" spans="2:15">
      <c r="B63" s="142" t="s">
        <v>1</v>
      </c>
      <c r="C63" s="1" t="s">
        <v>362</v>
      </c>
      <c r="D63" s="1" t="s">
        <v>363</v>
      </c>
      <c r="E63" s="1" t="s">
        <v>364</v>
      </c>
      <c r="F63" s="1" t="s">
        <v>356</v>
      </c>
      <c r="G63" s="1" t="s">
        <v>357</v>
      </c>
      <c r="H63" s="1" t="s">
        <v>358</v>
      </c>
      <c r="I63" s="1" t="s">
        <v>359</v>
      </c>
      <c r="J63" s="1" t="s">
        <v>8</v>
      </c>
      <c r="K63" s="1" t="s">
        <v>9</v>
      </c>
      <c r="L63" s="1" t="s">
        <v>10</v>
      </c>
      <c r="M63" s="1" t="s">
        <v>11</v>
      </c>
      <c r="N63" s="1" t="s">
        <v>397</v>
      </c>
      <c r="O63" s="1" t="s">
        <v>3</v>
      </c>
    </row>
    <row r="64" spans="2:15">
      <c r="B64" s="142" t="s">
        <v>355</v>
      </c>
      <c r="C64" s="170">
        <v>97</v>
      </c>
      <c r="D64" s="170">
        <v>101</v>
      </c>
      <c r="E64" s="170">
        <v>125</v>
      </c>
      <c r="F64" s="143">
        <v>170</v>
      </c>
      <c r="G64" s="143">
        <v>110</v>
      </c>
      <c r="H64" s="143">
        <v>90</v>
      </c>
      <c r="I64" s="143">
        <v>115</v>
      </c>
      <c r="J64">
        <v>107</v>
      </c>
      <c r="K64">
        <v>107</v>
      </c>
      <c r="L64">
        <v>110</v>
      </c>
      <c r="M64">
        <v>115</v>
      </c>
      <c r="N64" s="218">
        <v>120</v>
      </c>
      <c r="O64">
        <f>SUM(C64:N64)</f>
        <v>1367</v>
      </c>
    </row>
    <row r="67" spans="2:15" ht="23.25">
      <c r="B67" s="2" t="s">
        <v>33</v>
      </c>
      <c r="C67" s="2"/>
      <c r="D67" s="2"/>
      <c r="E67" s="2"/>
      <c r="F67" s="2"/>
      <c r="G67" s="2"/>
      <c r="H67" s="2"/>
      <c r="I67" s="2"/>
    </row>
    <row r="69" spans="2:15">
      <c r="B69" s="43" t="s">
        <v>1</v>
      </c>
      <c r="C69" s="44">
        <v>2001</v>
      </c>
      <c r="D69" s="44">
        <v>2002</v>
      </c>
      <c r="E69" s="44">
        <v>2003</v>
      </c>
      <c r="F69" s="44">
        <v>2004</v>
      </c>
      <c r="G69" s="44">
        <v>2005</v>
      </c>
      <c r="H69" s="44">
        <v>2006</v>
      </c>
      <c r="I69" s="44">
        <v>2007</v>
      </c>
      <c r="J69" s="44" t="s">
        <v>8</v>
      </c>
      <c r="K69" s="44" t="s">
        <v>9</v>
      </c>
      <c r="L69" s="44" t="s">
        <v>10</v>
      </c>
      <c r="M69" s="44" t="s">
        <v>11</v>
      </c>
      <c r="N69" s="44" t="s">
        <v>397</v>
      </c>
      <c r="O69" s="45" t="s">
        <v>3</v>
      </c>
    </row>
    <row r="70" spans="2:15">
      <c r="B70" s="46" t="s">
        <v>4</v>
      </c>
      <c r="C70" s="158">
        <v>72</v>
      </c>
      <c r="D70" s="158">
        <v>91</v>
      </c>
      <c r="E70" s="158">
        <v>122</v>
      </c>
      <c r="F70" s="158">
        <v>89</v>
      </c>
      <c r="G70" s="158">
        <v>129</v>
      </c>
      <c r="H70" s="158">
        <v>110</v>
      </c>
      <c r="I70" s="158">
        <v>139</v>
      </c>
      <c r="J70" s="47">
        <v>158</v>
      </c>
      <c r="K70" s="47">
        <v>154</v>
      </c>
      <c r="L70" s="47">
        <v>197</v>
      </c>
      <c r="M70" s="47">
        <v>192</v>
      </c>
      <c r="N70" s="47">
        <v>117</v>
      </c>
      <c r="O70" s="48">
        <f>SUM(BBDD!$C70:$N70)</f>
        <v>1570</v>
      </c>
    </row>
    <row r="71" spans="2:15">
      <c r="B71" s="49" t="s">
        <v>30</v>
      </c>
      <c r="C71" s="159">
        <v>1</v>
      </c>
      <c r="D71" s="159">
        <v>3</v>
      </c>
      <c r="E71" s="159">
        <v>0</v>
      </c>
      <c r="F71" s="159">
        <v>1</v>
      </c>
      <c r="G71" s="159">
        <v>1</v>
      </c>
      <c r="H71" s="159">
        <v>1</v>
      </c>
      <c r="I71" s="159">
        <v>1</v>
      </c>
      <c r="J71" s="50">
        <v>4</v>
      </c>
      <c r="K71" s="50">
        <v>0</v>
      </c>
      <c r="L71" s="50">
        <v>2</v>
      </c>
      <c r="M71" s="50">
        <v>0</v>
      </c>
      <c r="N71" s="50">
        <v>0</v>
      </c>
      <c r="O71" s="48">
        <f>SUM(BBDD!$C71:$N71)</f>
        <v>14</v>
      </c>
    </row>
    <row r="72" spans="2:15">
      <c r="B72" s="46" t="s">
        <v>31</v>
      </c>
      <c r="C72" s="158">
        <v>1</v>
      </c>
      <c r="D72" s="158">
        <v>4</v>
      </c>
      <c r="E72" s="158">
        <v>5</v>
      </c>
      <c r="F72" s="158">
        <v>3</v>
      </c>
      <c r="G72" s="158">
        <v>2</v>
      </c>
      <c r="H72" s="158">
        <v>4</v>
      </c>
      <c r="I72" s="158">
        <v>2</v>
      </c>
      <c r="J72" s="47">
        <v>2</v>
      </c>
      <c r="K72" s="47">
        <v>1</v>
      </c>
      <c r="L72" s="47">
        <v>2</v>
      </c>
      <c r="M72" s="47">
        <v>43</v>
      </c>
      <c r="N72" s="47">
        <v>124</v>
      </c>
      <c r="O72" s="48">
        <f>SUM(BBDD!$C72:$N72)</f>
        <v>193</v>
      </c>
    </row>
    <row r="73" spans="2:15" ht="15.75" thickBot="1">
      <c r="B73" s="51" t="s">
        <v>32</v>
      </c>
      <c r="C73" s="146">
        <v>0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48">
        <f>SUM(BBDD!$C73:$N73)</f>
        <v>1</v>
      </c>
    </row>
    <row r="74" spans="2:15" ht="15.75" thickTop="1">
      <c r="B74" s="52" t="s">
        <v>12</v>
      </c>
      <c r="C74" s="160">
        <f t="shared" ref="C74:E74" si="8">SUM(C70:C73)</f>
        <v>74</v>
      </c>
      <c r="D74" s="160">
        <f t="shared" si="8"/>
        <v>98</v>
      </c>
      <c r="E74" s="160">
        <f t="shared" si="8"/>
        <v>127</v>
      </c>
      <c r="F74" s="160">
        <f>SUM(F70:F73)</f>
        <v>93</v>
      </c>
      <c r="G74" s="160">
        <f t="shared" ref="G74:O74" si="9">SUM(G70:G73)</f>
        <v>132</v>
      </c>
      <c r="H74" s="160">
        <f t="shared" si="9"/>
        <v>115</v>
      </c>
      <c r="I74" s="160">
        <f t="shared" si="9"/>
        <v>142</v>
      </c>
      <c r="J74" s="160">
        <f t="shared" si="9"/>
        <v>164</v>
      </c>
      <c r="K74" s="160">
        <f t="shared" si="9"/>
        <v>155</v>
      </c>
      <c r="L74" s="160">
        <f t="shared" si="9"/>
        <v>202</v>
      </c>
      <c r="M74" s="160">
        <f t="shared" si="9"/>
        <v>235</v>
      </c>
      <c r="N74" s="160">
        <f t="shared" si="9"/>
        <v>241</v>
      </c>
      <c r="O74" s="160">
        <f t="shared" si="9"/>
        <v>1778</v>
      </c>
    </row>
  </sheetData>
  <pageMargins left="0.7" right="0.7" top="0.75" bottom="0.75" header="0.3" footer="0.3"/>
  <pageSetup paperSize="9" orientation="portrait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L30" sqref="L30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5" max="5" width="17" customWidth="1"/>
    <col min="6" max="6" width="11.42578125" bestFit="1" customWidth="1"/>
    <col min="8" max="8" width="21.42578125" customWidth="1"/>
    <col min="10" max="10" width="11.42578125" customWidth="1"/>
    <col min="11" max="11" width="4" customWidth="1"/>
    <col min="12" max="12" width="3.140625" customWidth="1"/>
    <col min="13" max="13" width="32" bestFit="1" customWidth="1"/>
    <col min="14" max="14" width="7.7109375" bestFit="1" customWidth="1"/>
    <col min="15" max="15" width="9.85546875" bestFit="1" customWidth="1"/>
  </cols>
  <sheetData>
    <row r="1" spans="2:15" ht="15.75" thickBot="1"/>
    <row r="2" spans="2:15" ht="32.25" thickTop="1">
      <c r="B2" s="89">
        <v>2008</v>
      </c>
      <c r="H2" s="273" t="s">
        <v>140</v>
      </c>
      <c r="I2" s="274"/>
      <c r="J2" s="275"/>
      <c r="M2" s="273" t="s">
        <v>141</v>
      </c>
      <c r="N2" s="274"/>
      <c r="O2" s="275"/>
    </row>
    <row r="3" spans="2:15">
      <c r="H3" s="95"/>
      <c r="I3" s="90"/>
      <c r="J3" s="96"/>
      <c r="M3" s="95"/>
      <c r="N3" s="90"/>
      <c r="O3" s="96"/>
    </row>
    <row r="4" spans="2: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>
      <c r="B5" t="s">
        <v>142</v>
      </c>
      <c r="C5" t="s">
        <v>66</v>
      </c>
      <c r="D5">
        <v>9</v>
      </c>
      <c r="E5">
        <v>6</v>
      </c>
      <c r="F5" s="88">
        <f>Tabla68910[[#This Row],[Texto completo]]/Tabla68910[[#This Row],[Referencias]]</f>
        <v>0.66666666666666663</v>
      </c>
      <c r="H5" s="95" t="s">
        <v>127</v>
      </c>
      <c r="I5" s="94">
        <f>STDEV(D5:D34)</f>
        <v>20.479566491460723</v>
      </c>
      <c r="J5" s="96"/>
      <c r="M5" s="95" t="s">
        <v>138</v>
      </c>
      <c r="N5" s="94">
        <f>SUM(Tabla68910[Texto completo])/SUM(Tabla68910[Referencias])</f>
        <v>0.5423023578363384</v>
      </c>
      <c r="O5" s="96"/>
    </row>
    <row r="6" spans="2:15">
      <c r="B6" t="s">
        <v>143</v>
      </c>
      <c r="C6" t="s">
        <v>64</v>
      </c>
      <c r="D6">
        <v>65</v>
      </c>
      <c r="E6">
        <v>56</v>
      </c>
      <c r="F6" s="88">
        <f>Tabla68910[[#This Row],[Texto completo]]/Tabla68910[[#This Row],[Referencias]]</f>
        <v>0.86153846153846159</v>
      </c>
      <c r="H6" s="95"/>
      <c r="I6" s="90"/>
      <c r="J6" s="96"/>
      <c r="M6" s="95"/>
      <c r="N6" s="90"/>
      <c r="O6" s="96"/>
    </row>
    <row r="7" spans="2:15">
      <c r="B7" t="s">
        <v>144</v>
      </c>
      <c r="C7" t="s">
        <v>66</v>
      </c>
      <c r="D7">
        <v>7</v>
      </c>
      <c r="E7">
        <v>0</v>
      </c>
      <c r="F7" s="88">
        <f>Tabla68910[[#This Row],[Texto completo]]/Tabla68910[[#This Row],[Referencias]]</f>
        <v>0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>
      <c r="B8" t="s">
        <v>145</v>
      </c>
      <c r="C8" t="s">
        <v>66</v>
      </c>
      <c r="D8">
        <v>20</v>
      </c>
      <c r="E8">
        <v>7</v>
      </c>
      <c r="F8" s="88">
        <f>Tabla68910[[#This Row],[Texto completo]]/Tabla68910[[#This Row],[Referencias]]</f>
        <v>0.35</v>
      </c>
      <c r="H8" s="95"/>
      <c r="I8" s="90"/>
      <c r="J8" s="96"/>
      <c r="M8" s="95"/>
      <c r="N8" s="90"/>
      <c r="O8" s="96"/>
    </row>
    <row r="9" spans="2:15">
      <c r="B9" t="s">
        <v>146</v>
      </c>
      <c r="C9" t="s">
        <v>66</v>
      </c>
      <c r="D9">
        <v>12</v>
      </c>
      <c r="E9">
        <v>8</v>
      </c>
      <c r="F9" s="88">
        <f>Tabla68910[[#This Row],[Texto completo]]/Tabla68910[[#This Row],[Referencias]]</f>
        <v>0.66666666666666663</v>
      </c>
      <c r="H9" s="95" t="s">
        <v>129</v>
      </c>
      <c r="I9" s="90">
        <v>7.5</v>
      </c>
      <c r="J9" s="96"/>
      <c r="M9" s="95" t="s">
        <v>129</v>
      </c>
      <c r="N9" s="90">
        <v>3.6999999999999998E-2</v>
      </c>
      <c r="O9" s="96"/>
    </row>
    <row r="10" spans="2:15">
      <c r="B10" t="s">
        <v>147</v>
      </c>
      <c r="C10" t="s">
        <v>66</v>
      </c>
      <c r="D10">
        <v>22</v>
      </c>
      <c r="E10">
        <v>1</v>
      </c>
      <c r="F10" s="88">
        <f>Tabla68910[[#This Row],[Texto completo]]/Tabla68910[[#This Row],[Referencias]]</f>
        <v>4.5454545454545456E-2</v>
      </c>
      <c r="H10" s="95"/>
      <c r="I10" s="90"/>
      <c r="J10" s="96"/>
      <c r="M10" s="95"/>
      <c r="N10" s="90"/>
      <c r="O10" s="96"/>
    </row>
    <row r="11" spans="2:15">
      <c r="B11" t="s">
        <v>148</v>
      </c>
      <c r="C11" t="s">
        <v>66</v>
      </c>
      <c r="D11">
        <v>8</v>
      </c>
      <c r="E11">
        <v>5</v>
      </c>
      <c r="F11" s="88">
        <f>Tabla68910[[#This Row],[Texto completo]]/Tabla68910[[#This Row],[Referencias]]</f>
        <v>0.625</v>
      </c>
      <c r="H11" s="95" t="s">
        <v>130</v>
      </c>
      <c r="I11" s="91">
        <f>((I7*I7)*(I5*I5))/(I9*I9)</f>
        <v>28.643833101404848</v>
      </c>
      <c r="J11" s="96"/>
      <c r="M11" s="95" t="s">
        <v>130</v>
      </c>
      <c r="N11" s="91">
        <f>((N7*N7)*N5*(1-N5))/(N9*N9)</f>
        <v>696.51241579206885</v>
      </c>
      <c r="O11" s="96"/>
    </row>
    <row r="12" spans="2:15">
      <c r="B12" t="s">
        <v>149</v>
      </c>
      <c r="C12" t="s">
        <v>64</v>
      </c>
      <c r="D12">
        <v>17</v>
      </c>
      <c r="E12">
        <v>10</v>
      </c>
      <c r="F12" s="88">
        <f>Tabla68910[[#This Row],[Texto completo]]/Tabla68910[[#This Row],[Referencias]]</f>
        <v>0.58823529411764708</v>
      </c>
      <c r="H12" s="95"/>
      <c r="I12" s="90"/>
      <c r="J12" s="96"/>
      <c r="M12" s="95"/>
      <c r="N12" s="90"/>
      <c r="O12" s="96"/>
    </row>
    <row r="13" spans="2:15">
      <c r="B13" t="s">
        <v>150</v>
      </c>
      <c r="C13" t="s">
        <v>64</v>
      </c>
      <c r="D13">
        <v>54</v>
      </c>
      <c r="E13">
        <v>43</v>
      </c>
      <c r="F13" s="88">
        <f>Tabla68910[[#This Row],[Texto completo]]/Tabla68910[[#This Row],[Referencias]]</f>
        <v>0.79629629629629628</v>
      </c>
      <c r="H13" s="95"/>
      <c r="I13" s="90"/>
      <c r="J13" s="96"/>
      <c r="M13" s="95"/>
      <c r="N13" s="90"/>
      <c r="O13" s="96"/>
    </row>
    <row r="14" spans="2:15">
      <c r="B14" t="s">
        <v>151</v>
      </c>
      <c r="C14" t="s">
        <v>64</v>
      </c>
      <c r="D14">
        <v>60</v>
      </c>
      <c r="E14">
        <v>31</v>
      </c>
      <c r="F14" s="88">
        <f>Tabla68910[[#This Row],[Texto completo]]/Tabla68910[[#This Row],[Referencias]]</f>
        <v>0.51666666666666672</v>
      </c>
      <c r="H14" s="95"/>
      <c r="I14" s="90"/>
      <c r="J14" s="96"/>
      <c r="M14" s="95"/>
      <c r="N14" s="90"/>
      <c r="O14" s="96"/>
    </row>
    <row r="15" spans="2:15">
      <c r="B15" t="s">
        <v>152</v>
      </c>
      <c r="C15" t="s">
        <v>66</v>
      </c>
      <c r="D15">
        <v>7</v>
      </c>
      <c r="E15">
        <v>0</v>
      </c>
      <c r="F15" s="88">
        <f>Tabla68910[[#This Row],[Texto completo]]/Tabla68910[[#This Row],[Referencias]]</f>
        <v>0</v>
      </c>
      <c r="H15" s="95"/>
      <c r="I15" s="90"/>
      <c r="J15" s="96"/>
      <c r="M15" s="95"/>
      <c r="N15" s="90"/>
      <c r="O15" s="96"/>
    </row>
    <row r="16" spans="2:15">
      <c r="B16" t="s">
        <v>153</v>
      </c>
      <c r="C16" t="s">
        <v>66</v>
      </c>
      <c r="D16">
        <v>5</v>
      </c>
      <c r="E16">
        <v>2</v>
      </c>
      <c r="F16" s="88">
        <f>Tabla68910[[#This Row],[Texto completo]]/Tabla68910[[#This Row],[Referencias]]</f>
        <v>0.4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>
      <c r="B17" t="s">
        <v>154</v>
      </c>
      <c r="C17" t="s">
        <v>64</v>
      </c>
      <c r="D17">
        <v>23</v>
      </c>
      <c r="E17">
        <v>15</v>
      </c>
      <c r="F17" s="88">
        <f>Tabla68910[[#This Row],[Texto completo]]/Tabla68910[[#This Row],[Referencias]]</f>
        <v>0.65217391304347827</v>
      </c>
      <c r="H17" s="95" t="s">
        <v>131</v>
      </c>
      <c r="I17" s="91">
        <f>AVERAGE(Tabla68910[Referencias])</f>
        <v>24.033333333333335</v>
      </c>
      <c r="J17" s="96"/>
      <c r="M17" s="95" t="s">
        <v>138</v>
      </c>
      <c r="N17" s="94">
        <f>N5</f>
        <v>0.5423023578363384</v>
      </c>
      <c r="O17" s="96"/>
    </row>
    <row r="18" spans="2:15">
      <c r="B18" t="s">
        <v>155</v>
      </c>
      <c r="C18" t="s">
        <v>64</v>
      </c>
      <c r="D18">
        <v>49</v>
      </c>
      <c r="E18">
        <v>16</v>
      </c>
      <c r="F18" s="88">
        <f>Tabla68910[[#This Row],[Texto completo]]/Tabla68910[[#This Row],[Referencias]]</f>
        <v>0.32653061224489793</v>
      </c>
      <c r="H18" s="95"/>
      <c r="I18" s="90"/>
      <c r="J18" s="96"/>
      <c r="M18" s="95"/>
      <c r="N18" s="90"/>
      <c r="O18" s="96"/>
    </row>
    <row r="19" spans="2:15">
      <c r="B19" t="s">
        <v>156</v>
      </c>
      <c r="C19" t="s">
        <v>66</v>
      </c>
      <c r="D19">
        <v>6</v>
      </c>
      <c r="E19">
        <v>1</v>
      </c>
      <c r="F19" s="88">
        <f>Tabla68910[[#This Row],[Texto completo]]/Tabla68910[[#This Row],[Referencias]]</f>
        <v>0.16666666666666666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>
      <c r="B20" t="s">
        <v>157</v>
      </c>
      <c r="C20" t="s">
        <v>64</v>
      </c>
      <c r="D20">
        <v>32</v>
      </c>
      <c r="E20">
        <v>20</v>
      </c>
      <c r="F20" s="88">
        <f>Tabla68910[[#This Row],[Texto completo]]/Tabla68910[[#This Row],[Referencias]]</f>
        <v>0.625</v>
      </c>
      <c r="H20" s="95"/>
      <c r="I20" s="90"/>
      <c r="J20" s="96"/>
      <c r="M20" s="95"/>
      <c r="N20" s="90"/>
      <c r="O20" s="96"/>
    </row>
    <row r="21" spans="2:15">
      <c r="B21" t="s">
        <v>158</v>
      </c>
      <c r="C21" t="s">
        <v>64</v>
      </c>
      <c r="D21">
        <v>31</v>
      </c>
      <c r="E21">
        <v>19</v>
      </c>
      <c r="F21" s="88">
        <f>Tabla68910[[#This Row],[Texto completo]]/Tabla68910[[#This Row],[Referencias]]</f>
        <v>0.61290322580645162</v>
      </c>
      <c r="H21" s="95" t="s">
        <v>133</v>
      </c>
      <c r="I21" s="91">
        <f>I5/SQRT(30)</f>
        <v>3.7390401784333229</v>
      </c>
      <c r="J21" s="96"/>
      <c r="M21" s="95" t="s">
        <v>139</v>
      </c>
      <c r="N21" s="94">
        <f>SQRT($N$17*(1-$N$17)/SUM(Tabla68910[Referencias]))</f>
        <v>1.855420930971885E-2</v>
      </c>
      <c r="O21" s="96"/>
    </row>
    <row r="22" spans="2:15">
      <c r="B22" t="s">
        <v>159</v>
      </c>
      <c r="C22" t="s">
        <v>64</v>
      </c>
      <c r="D22">
        <v>22</v>
      </c>
      <c r="E22">
        <v>14</v>
      </c>
      <c r="F22" s="88">
        <f>Tabla68910[[#This Row],[Texto completo]]/Tabla68910[[#This Row],[Referencias]]</f>
        <v>0.63636363636363635</v>
      </c>
      <c r="H22" s="95"/>
      <c r="I22" s="90"/>
      <c r="J22" s="96"/>
      <c r="M22" s="95"/>
      <c r="N22" s="90"/>
      <c r="O22" s="96"/>
    </row>
    <row r="23" spans="2:15" ht="15.75" thickBot="1">
      <c r="B23" t="s">
        <v>160</v>
      </c>
      <c r="C23" t="s">
        <v>64</v>
      </c>
      <c r="D23">
        <v>90</v>
      </c>
      <c r="E23">
        <v>44</v>
      </c>
      <c r="F23" s="88">
        <f>Tabla68910[[#This Row],[Texto completo]]/Tabla68910[[#This Row],[Referencias]]</f>
        <v>0.48888888888888887</v>
      </c>
      <c r="H23" s="97" t="s">
        <v>134</v>
      </c>
      <c r="I23" s="98">
        <f>$I$17-$I$19*$I$21</f>
        <v>16.704814583604023</v>
      </c>
      <c r="J23" s="99">
        <f>$I$17+$I$19*$I$21</f>
        <v>31.361852083062647</v>
      </c>
      <c r="K23" s="92"/>
      <c r="M23" s="97" t="s">
        <v>132</v>
      </c>
      <c r="N23" s="98">
        <f>$N$17-$N$19*N21</f>
        <v>0.50593610758928942</v>
      </c>
      <c r="O23" s="99">
        <f>$N$17+$N$19*$N$21</f>
        <v>0.57866860808338738</v>
      </c>
    </row>
    <row r="24" spans="2:15" ht="15.75" thickTop="1">
      <c r="B24" t="s">
        <v>161</v>
      </c>
      <c r="C24" t="s">
        <v>66</v>
      </c>
      <c r="D24">
        <v>9</v>
      </c>
      <c r="E24">
        <v>7</v>
      </c>
      <c r="F24" s="88">
        <f>Tabla68910[[#This Row],[Texto completo]]/Tabla68910[[#This Row],[Referencias]]</f>
        <v>0.77777777777777779</v>
      </c>
    </row>
    <row r="25" spans="2:15">
      <c r="B25" t="s">
        <v>162</v>
      </c>
      <c r="C25" t="s">
        <v>64</v>
      </c>
      <c r="D25">
        <v>34</v>
      </c>
      <c r="E25">
        <v>15</v>
      </c>
      <c r="F25" s="88">
        <f>Tabla68910[[#This Row],[Texto completo]]/Tabla68910[[#This Row],[Referencias]]</f>
        <v>0.44117647058823528</v>
      </c>
    </row>
    <row r="26" spans="2:15">
      <c r="B26" t="s">
        <v>163</v>
      </c>
      <c r="C26" t="s">
        <v>64</v>
      </c>
      <c r="D26">
        <v>22</v>
      </c>
      <c r="E26">
        <v>16</v>
      </c>
      <c r="F26" s="88">
        <f>Tabla68910[[#This Row],[Texto completo]]/Tabla68910[[#This Row],[Referencias]]</f>
        <v>0.72727272727272729</v>
      </c>
    </row>
    <row r="27" spans="2:15">
      <c r="B27" t="s">
        <v>164</v>
      </c>
      <c r="C27" t="s">
        <v>64</v>
      </c>
      <c r="D27">
        <v>15</v>
      </c>
      <c r="E27">
        <v>4</v>
      </c>
      <c r="F27" s="88">
        <f>Tabla68910[[#This Row],[Texto completo]]/Tabla68910[[#This Row],[Referencias]]</f>
        <v>0.26666666666666666</v>
      </c>
    </row>
    <row r="28" spans="2:15">
      <c r="B28" t="s">
        <v>165</v>
      </c>
      <c r="C28" t="s">
        <v>64</v>
      </c>
      <c r="D28">
        <v>23</v>
      </c>
      <c r="E28">
        <v>8</v>
      </c>
      <c r="F28" s="88">
        <f>Tabla68910[[#This Row],[Texto completo]]/Tabla68910[[#This Row],[Referencias]]</f>
        <v>0.34782608695652173</v>
      </c>
    </row>
    <row r="29" spans="2:15">
      <c r="B29" t="s">
        <v>166</v>
      </c>
      <c r="C29" t="s">
        <v>64</v>
      </c>
      <c r="D29">
        <v>20</v>
      </c>
      <c r="E29">
        <v>9</v>
      </c>
      <c r="F29" s="88">
        <f>Tabla68910[[#This Row],[Texto completo]]/Tabla68910[[#This Row],[Referencias]]</f>
        <v>0.45</v>
      </c>
    </row>
    <row r="30" spans="2:15">
      <c r="B30" t="s">
        <v>167</v>
      </c>
      <c r="C30" t="s">
        <v>64</v>
      </c>
      <c r="D30">
        <v>7</v>
      </c>
      <c r="E30">
        <v>5</v>
      </c>
      <c r="F30" s="88">
        <f>Tabla68910[[#This Row],[Texto completo]]/Tabla68910[[#This Row],[Referencias]]</f>
        <v>0.7142857142857143</v>
      </c>
    </row>
    <row r="31" spans="2:15">
      <c r="B31" t="s">
        <v>168</v>
      </c>
      <c r="C31" t="s">
        <v>64</v>
      </c>
      <c r="D31">
        <v>14</v>
      </c>
      <c r="E31">
        <v>7</v>
      </c>
      <c r="F31" s="88">
        <f>Tabla68910[[#This Row],[Texto completo]]/Tabla68910[[#This Row],[Referencias]]</f>
        <v>0.5</v>
      </c>
    </row>
    <row r="32" spans="2:15">
      <c r="B32" t="s">
        <v>169</v>
      </c>
      <c r="C32" t="s">
        <v>64</v>
      </c>
      <c r="D32">
        <v>17</v>
      </c>
      <c r="E32">
        <v>15</v>
      </c>
      <c r="F32" s="88">
        <f>Tabla68910[[#This Row],[Texto completo]]/Tabla68910[[#This Row],[Referencias]]</f>
        <v>0.88235294117647056</v>
      </c>
    </row>
    <row r="33" spans="2:6">
      <c r="B33" t="s">
        <v>170</v>
      </c>
      <c r="C33" t="s">
        <v>66</v>
      </c>
      <c r="D33">
        <v>10</v>
      </c>
      <c r="E33">
        <v>5</v>
      </c>
      <c r="F33" s="88">
        <f>Tabla68910[[#This Row],[Texto completo]]/Tabla68910[[#This Row],[Referencias]]</f>
        <v>0.5</v>
      </c>
    </row>
    <row r="34" spans="2:6">
      <c r="B34" t="s">
        <v>171</v>
      </c>
      <c r="C34" t="s">
        <v>64</v>
      </c>
      <c r="D34">
        <v>11</v>
      </c>
      <c r="E34">
        <v>2</v>
      </c>
      <c r="F34" s="88">
        <f>Tabla68910[[#This Row],[Texto completo]]/Tabla68910[[#This Row],[Referencias]]</f>
        <v>0.18181818181818182</v>
      </c>
    </row>
    <row r="35" spans="2:6">
      <c r="D35">
        <f>SUBTOTAL(109,Tabla68910[Referencias])</f>
        <v>721</v>
      </c>
      <c r="E35">
        <f>SUBTOTAL(109,Tabla68910[Texto completo])</f>
        <v>391</v>
      </c>
      <c r="F35" s="88">
        <f>SUBTOTAL(101,Tabla68910[Porcentaje])</f>
        <v>0.49380760356544223</v>
      </c>
    </row>
  </sheetData>
  <mergeCells count="2">
    <mergeCell ref="H2:J2"/>
    <mergeCell ref="M2:O2"/>
  </mergeCells>
  <pageMargins left="0.7" right="0.7" top="0.75" bottom="0.75" header="0.3" footer="0.3"/>
  <pageSetup paperSize="9" orientation="portrait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5"/>
  <sheetViews>
    <sheetView workbookViewId="0">
      <selection activeCell="D5" sqref="D5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6" max="6" width="21.42578125" customWidth="1"/>
    <col min="8" max="8" width="11.42578125" customWidth="1"/>
    <col min="9" max="9" width="4" customWidth="1"/>
    <col min="10" max="10" width="3.140625" customWidth="1"/>
    <col min="11" max="11" width="32" bestFit="1" customWidth="1"/>
    <col min="12" max="12" width="7.7109375" bestFit="1" customWidth="1"/>
    <col min="13" max="13" width="9.85546875" bestFit="1" customWidth="1"/>
  </cols>
  <sheetData>
    <row r="1" spans="1:13" ht="15.75" thickBot="1"/>
    <row r="2" spans="1:13" ht="32.25" thickTop="1">
      <c r="B2" s="89">
        <v>2008</v>
      </c>
      <c r="F2" s="273" t="s">
        <v>140</v>
      </c>
      <c r="G2" s="274"/>
      <c r="H2" s="275"/>
      <c r="K2" s="276"/>
      <c r="L2" s="276"/>
      <c r="M2" s="276"/>
    </row>
    <row r="3" spans="1:13">
      <c r="F3" s="95"/>
      <c r="G3" s="90"/>
      <c r="H3" s="96"/>
    </row>
    <row r="4" spans="1:13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13">
      <c r="A5">
        <v>1</v>
      </c>
      <c r="B5" t="s">
        <v>142</v>
      </c>
      <c r="C5" t="s">
        <v>66</v>
      </c>
      <c r="D5">
        <v>9</v>
      </c>
      <c r="F5" s="95" t="s">
        <v>127</v>
      </c>
      <c r="G5" s="94">
        <f>STDEV(D5:D34)</f>
        <v>20.479566491460723</v>
      </c>
      <c r="H5" s="96"/>
    </row>
    <row r="6" spans="1:13">
      <c r="A6">
        <v>2</v>
      </c>
      <c r="B6" t="s">
        <v>143</v>
      </c>
      <c r="C6" t="s">
        <v>64</v>
      </c>
      <c r="D6">
        <v>65</v>
      </c>
      <c r="F6" s="95"/>
      <c r="G6" s="90"/>
      <c r="H6" s="96"/>
    </row>
    <row r="7" spans="1:13">
      <c r="A7">
        <v>3</v>
      </c>
      <c r="B7" t="s">
        <v>144</v>
      </c>
      <c r="C7" t="s">
        <v>66</v>
      </c>
      <c r="D7">
        <v>7</v>
      </c>
      <c r="F7" s="95" t="s">
        <v>128</v>
      </c>
      <c r="G7" s="90">
        <v>1.96</v>
      </c>
      <c r="H7" s="96"/>
    </row>
    <row r="8" spans="1:13">
      <c r="A8">
        <v>4</v>
      </c>
      <c r="B8" t="s">
        <v>145</v>
      </c>
      <c r="C8" t="s">
        <v>66</v>
      </c>
      <c r="D8">
        <v>20</v>
      </c>
      <c r="F8" s="95"/>
      <c r="G8" s="90"/>
      <c r="H8" s="96"/>
    </row>
    <row r="9" spans="1:13">
      <c r="A9">
        <v>5</v>
      </c>
      <c r="B9" t="s">
        <v>146</v>
      </c>
      <c r="C9" t="s">
        <v>66</v>
      </c>
      <c r="D9">
        <v>12</v>
      </c>
      <c r="F9" s="95" t="s">
        <v>129</v>
      </c>
      <c r="G9" s="90">
        <v>4</v>
      </c>
      <c r="H9" s="96"/>
    </row>
    <row r="10" spans="1:13">
      <c r="A10">
        <v>6</v>
      </c>
      <c r="B10" s="110" t="s">
        <v>147</v>
      </c>
      <c r="C10" s="110" t="s">
        <v>66</v>
      </c>
      <c r="D10" s="110">
        <v>22</v>
      </c>
      <c r="F10" s="95"/>
      <c r="G10" s="90"/>
      <c r="H10" s="96"/>
    </row>
    <row r="11" spans="1:13">
      <c r="A11">
        <v>7</v>
      </c>
      <c r="B11" s="110" t="s">
        <v>148</v>
      </c>
      <c r="C11" s="110" t="s">
        <v>66</v>
      </c>
      <c r="D11" s="110">
        <v>8</v>
      </c>
      <c r="F11" s="95" t="s">
        <v>130</v>
      </c>
      <c r="G11" s="91">
        <f>((G7*G7)*(G5*G5))/(G9*G9)</f>
        <v>100.70097574712642</v>
      </c>
      <c r="H11" s="96"/>
    </row>
    <row r="12" spans="1:13">
      <c r="A12">
        <v>8</v>
      </c>
      <c r="B12" t="s">
        <v>149</v>
      </c>
      <c r="C12" t="s">
        <v>64</v>
      </c>
      <c r="D12">
        <v>17</v>
      </c>
      <c r="F12" s="95"/>
      <c r="G12" s="90"/>
      <c r="H12" s="96"/>
    </row>
    <row r="13" spans="1:13">
      <c r="A13">
        <v>9</v>
      </c>
      <c r="B13" s="110" t="s">
        <v>150</v>
      </c>
      <c r="C13" s="110" t="s">
        <v>64</v>
      </c>
      <c r="D13" s="110">
        <v>54</v>
      </c>
      <c r="F13" s="95"/>
      <c r="G13" s="90"/>
      <c r="H13" s="96"/>
    </row>
    <row r="14" spans="1:13">
      <c r="A14">
        <v>10</v>
      </c>
      <c r="B14" t="s">
        <v>151</v>
      </c>
      <c r="C14" t="s">
        <v>64</v>
      </c>
      <c r="D14">
        <v>60</v>
      </c>
      <c r="F14" s="95"/>
      <c r="G14" s="90"/>
      <c r="H14" s="96"/>
    </row>
    <row r="15" spans="1:13">
      <c r="A15">
        <v>11</v>
      </c>
      <c r="B15" s="110" t="s">
        <v>152</v>
      </c>
      <c r="C15" s="110" t="s">
        <v>66</v>
      </c>
      <c r="D15" s="110">
        <v>7</v>
      </c>
      <c r="F15" s="95"/>
      <c r="G15" s="90"/>
      <c r="H15" s="96"/>
    </row>
    <row r="16" spans="1:13">
      <c r="A16">
        <v>12</v>
      </c>
      <c r="B16" s="110" t="s">
        <v>153</v>
      </c>
      <c r="C16" s="110" t="s">
        <v>66</v>
      </c>
      <c r="D16" s="110">
        <v>5</v>
      </c>
      <c r="F16" s="95" t="s">
        <v>137</v>
      </c>
      <c r="G16" s="91" t="s">
        <v>136</v>
      </c>
      <c r="H16" s="96" t="s">
        <v>135</v>
      </c>
    </row>
    <row r="17" spans="1:9">
      <c r="A17">
        <v>13</v>
      </c>
      <c r="B17" s="110" t="s">
        <v>154</v>
      </c>
      <c r="C17" s="110" t="s">
        <v>64</v>
      </c>
      <c r="D17" s="110">
        <v>23</v>
      </c>
      <c r="F17" s="95" t="s">
        <v>131</v>
      </c>
      <c r="G17" s="91">
        <f>AVERAGE(D5:D105)</f>
        <v>25.237623762376238</v>
      </c>
      <c r="H17" s="96"/>
    </row>
    <row r="18" spans="1:9">
      <c r="A18">
        <v>14</v>
      </c>
      <c r="B18" s="110" t="s">
        <v>155</v>
      </c>
      <c r="C18" s="110" t="s">
        <v>64</v>
      </c>
      <c r="D18" s="110">
        <v>49</v>
      </c>
      <c r="F18" s="95"/>
      <c r="G18" s="90"/>
      <c r="H18" s="96"/>
    </row>
    <row r="19" spans="1:9">
      <c r="A19">
        <v>15</v>
      </c>
      <c r="B19" s="110" t="s">
        <v>156</v>
      </c>
      <c r="C19" s="110" t="s">
        <v>66</v>
      </c>
      <c r="D19" s="110">
        <v>6</v>
      </c>
      <c r="F19" s="95" t="s">
        <v>128</v>
      </c>
      <c r="G19" s="90">
        <v>1.96</v>
      </c>
      <c r="H19" s="96"/>
    </row>
    <row r="20" spans="1:9">
      <c r="A20">
        <v>16</v>
      </c>
      <c r="B20" s="110" t="s">
        <v>157</v>
      </c>
      <c r="C20" s="110" t="s">
        <v>64</v>
      </c>
      <c r="D20" s="110">
        <v>32</v>
      </c>
      <c r="F20" s="95"/>
      <c r="G20" s="90"/>
      <c r="H20" s="96"/>
    </row>
    <row r="21" spans="1:9">
      <c r="A21">
        <v>17</v>
      </c>
      <c r="B21" s="110" t="s">
        <v>158</v>
      </c>
      <c r="C21" s="110" t="s">
        <v>64</v>
      </c>
      <c r="D21" s="110">
        <v>31</v>
      </c>
      <c r="F21" s="95" t="s">
        <v>133</v>
      </c>
      <c r="G21" s="91">
        <f>G5/SQRT(100)</f>
        <v>2.0479566491460721</v>
      </c>
      <c r="H21" s="96"/>
    </row>
    <row r="22" spans="1:9">
      <c r="A22">
        <v>18</v>
      </c>
      <c r="B22" s="110" t="s">
        <v>159</v>
      </c>
      <c r="C22" s="110" t="s">
        <v>64</v>
      </c>
      <c r="D22" s="110">
        <v>22</v>
      </c>
      <c r="F22" s="95"/>
      <c r="G22" s="90"/>
      <c r="H22" s="96"/>
    </row>
    <row r="23" spans="1:9" ht="15.75" thickBot="1">
      <c r="A23">
        <v>19</v>
      </c>
      <c r="B23" s="110" t="s">
        <v>160</v>
      </c>
      <c r="C23" s="110" t="s">
        <v>64</v>
      </c>
      <c r="D23" s="110">
        <v>90</v>
      </c>
      <c r="F23" s="97" t="s">
        <v>134</v>
      </c>
      <c r="G23" s="98">
        <f>$G$17-$G$19*$G$21</f>
        <v>21.223628730049938</v>
      </c>
      <c r="H23" s="99">
        <f>$G$17+$G$19*$G$21</f>
        <v>29.251618794702537</v>
      </c>
      <c r="I23" s="92"/>
    </row>
    <row r="24" spans="1:9" ht="15.75" thickTop="1">
      <c r="A24">
        <v>20</v>
      </c>
      <c r="B24" s="110" t="s">
        <v>161</v>
      </c>
      <c r="C24" s="110" t="s">
        <v>66</v>
      </c>
      <c r="D24" s="110">
        <v>9</v>
      </c>
    </row>
    <row r="25" spans="1:9">
      <c r="A25">
        <v>21</v>
      </c>
      <c r="B25" s="110" t="s">
        <v>162</v>
      </c>
      <c r="C25" s="110" t="s">
        <v>64</v>
      </c>
      <c r="D25" s="110">
        <v>34</v>
      </c>
    </row>
    <row r="26" spans="1:9">
      <c r="A26">
        <v>22</v>
      </c>
      <c r="B26" s="110" t="s">
        <v>163</v>
      </c>
      <c r="C26" s="110" t="s">
        <v>64</v>
      </c>
      <c r="D26" s="110">
        <v>22</v>
      </c>
    </row>
    <row r="27" spans="1:9">
      <c r="A27">
        <v>23</v>
      </c>
      <c r="B27" s="110" t="s">
        <v>164</v>
      </c>
      <c r="C27" s="110" t="s">
        <v>64</v>
      </c>
      <c r="D27" s="110">
        <v>15</v>
      </c>
    </row>
    <row r="28" spans="1:9">
      <c r="A28">
        <v>24</v>
      </c>
      <c r="B28" s="110" t="s">
        <v>165</v>
      </c>
      <c r="C28" s="110" t="s">
        <v>64</v>
      </c>
      <c r="D28" s="110">
        <v>23</v>
      </c>
    </row>
    <row r="29" spans="1:9">
      <c r="A29">
        <v>25</v>
      </c>
      <c r="B29" s="110" t="s">
        <v>166</v>
      </c>
      <c r="C29" s="110" t="s">
        <v>64</v>
      </c>
      <c r="D29" s="110">
        <v>20</v>
      </c>
    </row>
    <row r="30" spans="1:9">
      <c r="A30">
        <v>26</v>
      </c>
      <c r="B30" s="110" t="s">
        <v>167</v>
      </c>
      <c r="C30" s="110" t="s">
        <v>64</v>
      </c>
      <c r="D30" s="110">
        <v>7</v>
      </c>
    </row>
    <row r="31" spans="1:9">
      <c r="A31">
        <v>27</v>
      </c>
      <c r="B31" s="110" t="s">
        <v>168</v>
      </c>
      <c r="C31" s="110" t="s">
        <v>64</v>
      </c>
      <c r="D31" s="110">
        <v>14</v>
      </c>
    </row>
    <row r="32" spans="1:9">
      <c r="A32">
        <v>28</v>
      </c>
      <c r="B32" s="110" t="s">
        <v>169</v>
      </c>
      <c r="C32" s="110" t="s">
        <v>64</v>
      </c>
      <c r="D32" s="110">
        <v>17</v>
      </c>
    </row>
    <row r="33" spans="1:4">
      <c r="A33">
        <v>29</v>
      </c>
      <c r="B33" s="110" t="s">
        <v>170</v>
      </c>
      <c r="C33" s="110" t="s">
        <v>66</v>
      </c>
      <c r="D33" s="110">
        <v>10</v>
      </c>
    </row>
    <row r="34" spans="1:4">
      <c r="A34">
        <v>30</v>
      </c>
      <c r="B34" s="110" t="s">
        <v>171</v>
      </c>
      <c r="C34" s="110" t="s">
        <v>64</v>
      </c>
      <c r="D34" s="110">
        <v>11</v>
      </c>
    </row>
    <row r="35" spans="1:4">
      <c r="A35">
        <v>31</v>
      </c>
      <c r="B35" t="s">
        <v>289</v>
      </c>
      <c r="C35" s="90" t="s">
        <v>64</v>
      </c>
      <c r="D35" s="90">
        <v>21</v>
      </c>
    </row>
    <row r="36" spans="1:4">
      <c r="A36">
        <v>32</v>
      </c>
      <c r="B36" t="s">
        <v>290</v>
      </c>
      <c r="C36" s="90" t="s">
        <v>64</v>
      </c>
      <c r="D36" s="90">
        <v>29</v>
      </c>
    </row>
    <row r="37" spans="1:4">
      <c r="A37">
        <v>33</v>
      </c>
      <c r="B37" t="s">
        <v>291</v>
      </c>
      <c r="C37" s="90" t="s">
        <v>64</v>
      </c>
      <c r="D37" s="90">
        <v>5</v>
      </c>
    </row>
    <row r="38" spans="1:4">
      <c r="A38">
        <v>34</v>
      </c>
      <c r="B38" t="s">
        <v>292</v>
      </c>
      <c r="C38" s="90" t="s">
        <v>64</v>
      </c>
      <c r="D38" s="90">
        <v>29</v>
      </c>
    </row>
    <row r="39" spans="1:4">
      <c r="A39">
        <v>35</v>
      </c>
      <c r="B39" t="s">
        <v>293</v>
      </c>
      <c r="C39" s="90" t="s">
        <v>64</v>
      </c>
      <c r="D39" s="90">
        <v>107</v>
      </c>
    </row>
    <row r="40" spans="1:4">
      <c r="A40">
        <v>36</v>
      </c>
      <c r="B40" t="s">
        <v>294</v>
      </c>
      <c r="C40" s="90" t="s">
        <v>64</v>
      </c>
      <c r="D40" s="90">
        <v>13</v>
      </c>
    </row>
    <row r="41" spans="1:4">
      <c r="A41">
        <v>37</v>
      </c>
      <c r="B41" t="s">
        <v>295</v>
      </c>
      <c r="C41" s="90" t="s">
        <v>64</v>
      </c>
      <c r="D41" s="90">
        <v>27</v>
      </c>
    </row>
    <row r="42" spans="1:4">
      <c r="A42">
        <v>38</v>
      </c>
      <c r="B42" t="s">
        <v>296</v>
      </c>
      <c r="C42" s="90" t="s">
        <v>64</v>
      </c>
      <c r="D42" s="90">
        <v>38</v>
      </c>
    </row>
    <row r="43" spans="1:4">
      <c r="A43">
        <v>39</v>
      </c>
      <c r="B43" s="90" t="s">
        <v>175</v>
      </c>
      <c r="C43" s="90" t="s">
        <v>64</v>
      </c>
      <c r="D43" s="90">
        <v>20</v>
      </c>
    </row>
    <row r="44" spans="1:4">
      <c r="A44">
        <v>40</v>
      </c>
      <c r="B44" t="s">
        <v>297</v>
      </c>
      <c r="C44" s="90" t="s">
        <v>64</v>
      </c>
      <c r="D44" s="90">
        <v>17</v>
      </c>
    </row>
    <row r="45" spans="1:4">
      <c r="A45">
        <v>41</v>
      </c>
      <c r="B45" t="s">
        <v>298</v>
      </c>
      <c r="C45" s="90" t="s">
        <v>64</v>
      </c>
      <c r="D45" s="90">
        <v>16</v>
      </c>
    </row>
    <row r="46" spans="1:4">
      <c r="A46">
        <v>42</v>
      </c>
      <c r="B46" t="s">
        <v>299</v>
      </c>
      <c r="C46" s="90" t="s">
        <v>64</v>
      </c>
      <c r="D46" s="90">
        <v>31</v>
      </c>
    </row>
    <row r="47" spans="1:4">
      <c r="A47">
        <v>43</v>
      </c>
      <c r="B47" t="s">
        <v>300</v>
      </c>
      <c r="C47" s="90" t="s">
        <v>64</v>
      </c>
      <c r="D47" s="90">
        <v>26</v>
      </c>
    </row>
    <row r="48" spans="1:4">
      <c r="A48">
        <v>44</v>
      </c>
      <c r="B48" s="90" t="s">
        <v>176</v>
      </c>
      <c r="C48" s="90" t="s">
        <v>66</v>
      </c>
      <c r="D48" s="90">
        <v>25</v>
      </c>
    </row>
    <row r="49" spans="1:4">
      <c r="A49">
        <v>45</v>
      </c>
      <c r="B49" s="90" t="s">
        <v>232</v>
      </c>
      <c r="C49" s="90" t="s">
        <v>64</v>
      </c>
      <c r="D49" s="90">
        <v>59</v>
      </c>
    </row>
    <row r="50" spans="1:4">
      <c r="A50">
        <v>46</v>
      </c>
      <c r="B50" s="90" t="s">
        <v>177</v>
      </c>
      <c r="C50" s="90" t="s">
        <v>66</v>
      </c>
      <c r="D50" s="90">
        <v>13</v>
      </c>
    </row>
    <row r="51" spans="1:4">
      <c r="A51">
        <v>47</v>
      </c>
      <c r="B51" s="90" t="s">
        <v>178</v>
      </c>
      <c r="C51" s="90" t="s">
        <v>66</v>
      </c>
      <c r="D51" s="90">
        <v>20</v>
      </c>
    </row>
    <row r="52" spans="1:4">
      <c r="A52">
        <v>48</v>
      </c>
      <c r="B52" s="90" t="s">
        <v>179</v>
      </c>
      <c r="C52" s="90" t="s">
        <v>66</v>
      </c>
      <c r="D52" s="90">
        <v>15</v>
      </c>
    </row>
    <row r="53" spans="1:4">
      <c r="A53">
        <v>49</v>
      </c>
      <c r="B53" s="90" t="s">
        <v>180</v>
      </c>
      <c r="C53" s="90" t="s">
        <v>66</v>
      </c>
      <c r="D53" s="90">
        <v>17</v>
      </c>
    </row>
    <row r="54" spans="1:4">
      <c r="A54">
        <v>50</v>
      </c>
      <c r="B54" s="90" t="s">
        <v>181</v>
      </c>
      <c r="C54" s="90" t="s">
        <v>66</v>
      </c>
      <c r="D54" s="90">
        <v>10</v>
      </c>
    </row>
    <row r="55" spans="1:4">
      <c r="A55">
        <v>51</v>
      </c>
      <c r="B55" s="90" t="s">
        <v>182</v>
      </c>
      <c r="C55" s="90" t="s">
        <v>66</v>
      </c>
      <c r="D55" s="90">
        <v>33</v>
      </c>
    </row>
    <row r="56" spans="1:4">
      <c r="A56">
        <v>52</v>
      </c>
      <c r="B56" s="90" t="s">
        <v>183</v>
      </c>
      <c r="C56" s="90" t="s">
        <v>64</v>
      </c>
      <c r="D56" s="90">
        <v>19</v>
      </c>
    </row>
    <row r="57" spans="1:4">
      <c r="A57">
        <v>53</v>
      </c>
      <c r="B57" s="90" t="s">
        <v>230</v>
      </c>
      <c r="C57" s="90" t="s">
        <v>64</v>
      </c>
      <c r="D57" s="90">
        <v>21</v>
      </c>
    </row>
    <row r="58" spans="1:4">
      <c r="A58">
        <v>54</v>
      </c>
      <c r="B58" s="90" t="s">
        <v>184</v>
      </c>
      <c r="C58" s="90" t="s">
        <v>66</v>
      </c>
      <c r="D58" s="90">
        <v>20</v>
      </c>
    </row>
    <row r="59" spans="1:4">
      <c r="A59">
        <v>55</v>
      </c>
      <c r="B59" s="90" t="s">
        <v>185</v>
      </c>
      <c r="C59" s="90" t="s">
        <v>66</v>
      </c>
      <c r="D59" s="90">
        <v>43</v>
      </c>
    </row>
    <row r="60" spans="1:4">
      <c r="A60">
        <v>56</v>
      </c>
      <c r="B60" s="90" t="s">
        <v>186</v>
      </c>
      <c r="C60" s="90" t="s">
        <v>64</v>
      </c>
      <c r="D60" s="90">
        <v>12</v>
      </c>
    </row>
    <row r="61" spans="1:4">
      <c r="A61">
        <v>57</v>
      </c>
      <c r="B61" s="90" t="s">
        <v>187</v>
      </c>
      <c r="C61" s="90" t="s">
        <v>66</v>
      </c>
      <c r="D61" s="90">
        <v>15</v>
      </c>
    </row>
    <row r="62" spans="1:4">
      <c r="A62">
        <v>58</v>
      </c>
      <c r="B62" s="90" t="s">
        <v>188</v>
      </c>
      <c r="C62" s="90" t="s">
        <v>66</v>
      </c>
      <c r="D62" s="90">
        <v>24</v>
      </c>
    </row>
    <row r="63" spans="1:4">
      <c r="A63">
        <v>59</v>
      </c>
      <c r="B63" s="90" t="s">
        <v>189</v>
      </c>
      <c r="C63" s="90" t="s">
        <v>66</v>
      </c>
      <c r="D63" s="90">
        <v>18</v>
      </c>
    </row>
    <row r="64" spans="1:4">
      <c r="A64">
        <v>60</v>
      </c>
      <c r="B64" s="90" t="s">
        <v>190</v>
      </c>
      <c r="C64" s="90" t="s">
        <v>64</v>
      </c>
      <c r="D64" s="90">
        <v>20</v>
      </c>
    </row>
    <row r="65" spans="1:4">
      <c r="A65">
        <v>61</v>
      </c>
      <c r="B65" s="90" t="s">
        <v>191</v>
      </c>
      <c r="C65" s="90" t="s">
        <v>66</v>
      </c>
      <c r="D65" s="90">
        <v>34</v>
      </c>
    </row>
    <row r="66" spans="1:4">
      <c r="A66">
        <v>62</v>
      </c>
      <c r="B66" s="90" t="s">
        <v>192</v>
      </c>
      <c r="C66" s="90" t="s">
        <v>66</v>
      </c>
      <c r="D66" s="90">
        <v>9</v>
      </c>
    </row>
    <row r="67" spans="1:4">
      <c r="A67">
        <v>63</v>
      </c>
      <c r="B67" s="90" t="s">
        <v>193</v>
      </c>
      <c r="C67" s="90" t="s">
        <v>64</v>
      </c>
      <c r="D67" s="90">
        <v>43</v>
      </c>
    </row>
    <row r="68" spans="1:4">
      <c r="A68">
        <v>64</v>
      </c>
      <c r="B68" s="90" t="s">
        <v>194</v>
      </c>
      <c r="C68" s="90" t="s">
        <v>64</v>
      </c>
      <c r="D68" s="90">
        <v>7</v>
      </c>
    </row>
    <row r="69" spans="1:4">
      <c r="A69">
        <v>65</v>
      </c>
      <c r="B69" s="90" t="s">
        <v>195</v>
      </c>
      <c r="C69" s="90" t="s">
        <v>64</v>
      </c>
      <c r="D69" s="90">
        <v>38</v>
      </c>
    </row>
    <row r="70" spans="1:4">
      <c r="A70">
        <v>66</v>
      </c>
      <c r="B70" s="90" t="s">
        <v>196</v>
      </c>
      <c r="C70" s="90" t="s">
        <v>66</v>
      </c>
      <c r="D70" s="90">
        <v>10</v>
      </c>
    </row>
    <row r="71" spans="1:4">
      <c r="A71">
        <v>67</v>
      </c>
      <c r="B71" s="90" t="s">
        <v>197</v>
      </c>
      <c r="C71" s="90" t="s">
        <v>66</v>
      </c>
      <c r="D71" s="90">
        <v>16</v>
      </c>
    </row>
    <row r="72" spans="1:4">
      <c r="A72">
        <v>68</v>
      </c>
      <c r="B72" s="90" t="s">
        <v>198</v>
      </c>
      <c r="C72" s="90" t="s">
        <v>64</v>
      </c>
      <c r="D72" s="90">
        <v>23</v>
      </c>
    </row>
    <row r="73" spans="1:4">
      <c r="A73">
        <v>69</v>
      </c>
      <c r="B73" s="90" t="s">
        <v>199</v>
      </c>
      <c r="C73" s="90" t="s">
        <v>64</v>
      </c>
      <c r="D73" s="90">
        <v>12</v>
      </c>
    </row>
    <row r="74" spans="1:4">
      <c r="A74">
        <v>70</v>
      </c>
      <c r="B74" s="90" t="s">
        <v>200</v>
      </c>
      <c r="C74" s="90" t="s">
        <v>66</v>
      </c>
      <c r="D74" s="90">
        <v>10</v>
      </c>
    </row>
    <row r="75" spans="1:4">
      <c r="A75">
        <v>71</v>
      </c>
      <c r="B75" s="90" t="s">
        <v>201</v>
      </c>
      <c r="C75" s="90" t="s">
        <v>66</v>
      </c>
      <c r="D75" s="90">
        <v>7</v>
      </c>
    </row>
    <row r="76" spans="1:4">
      <c r="A76">
        <v>72</v>
      </c>
      <c r="B76" s="90" t="s">
        <v>202</v>
      </c>
      <c r="C76" s="90" t="s">
        <v>64</v>
      </c>
      <c r="D76" s="90">
        <v>68</v>
      </c>
    </row>
    <row r="77" spans="1:4">
      <c r="A77">
        <v>73</v>
      </c>
      <c r="B77" s="90" t="s">
        <v>203</v>
      </c>
      <c r="C77" s="90" t="s">
        <v>64</v>
      </c>
      <c r="D77" s="90">
        <v>36</v>
      </c>
    </row>
    <row r="78" spans="1:4">
      <c r="A78">
        <v>74</v>
      </c>
      <c r="B78" s="90" t="s">
        <v>204</v>
      </c>
      <c r="C78" s="90" t="s">
        <v>64</v>
      </c>
      <c r="D78" s="90">
        <v>20</v>
      </c>
    </row>
    <row r="79" spans="1:4">
      <c r="A79">
        <v>75</v>
      </c>
      <c r="B79" s="90" t="s">
        <v>205</v>
      </c>
      <c r="C79" s="90" t="s">
        <v>64</v>
      </c>
      <c r="D79" s="90">
        <v>24</v>
      </c>
    </row>
    <row r="80" spans="1:4">
      <c r="A80">
        <v>76</v>
      </c>
      <c r="B80" s="90" t="s">
        <v>206</v>
      </c>
      <c r="C80" s="90" t="s">
        <v>64</v>
      </c>
      <c r="D80" s="90">
        <v>75</v>
      </c>
    </row>
    <row r="81" spans="1:4">
      <c r="A81">
        <v>77</v>
      </c>
      <c r="B81" s="90" t="s">
        <v>207</v>
      </c>
      <c r="C81" s="90" t="s">
        <v>64</v>
      </c>
      <c r="D81" s="90">
        <v>18</v>
      </c>
    </row>
    <row r="82" spans="1:4">
      <c r="A82">
        <v>78</v>
      </c>
      <c r="B82" s="90" t="s">
        <v>208</v>
      </c>
      <c r="C82" s="90" t="s">
        <v>64</v>
      </c>
      <c r="D82" s="90">
        <v>15</v>
      </c>
    </row>
    <row r="83" spans="1:4">
      <c r="A83">
        <v>79</v>
      </c>
      <c r="B83" s="90" t="s">
        <v>209</v>
      </c>
      <c r="C83" s="90" t="s">
        <v>64</v>
      </c>
      <c r="D83" s="90">
        <v>27</v>
      </c>
    </row>
    <row r="84" spans="1:4">
      <c r="A84">
        <v>80</v>
      </c>
      <c r="B84" s="90" t="s">
        <v>210</v>
      </c>
      <c r="C84" s="90" t="s">
        <v>64</v>
      </c>
      <c r="D84" s="90">
        <v>10</v>
      </c>
    </row>
    <row r="85" spans="1:4">
      <c r="A85">
        <v>81</v>
      </c>
      <c r="B85" s="90" t="s">
        <v>211</v>
      </c>
      <c r="C85" s="90" t="s">
        <v>66</v>
      </c>
      <c r="D85" s="90">
        <v>17</v>
      </c>
    </row>
    <row r="86" spans="1:4">
      <c r="A86">
        <v>82</v>
      </c>
      <c r="B86" s="90" t="s">
        <v>212</v>
      </c>
      <c r="C86" s="90" t="s">
        <v>64</v>
      </c>
      <c r="D86" s="90">
        <v>43</v>
      </c>
    </row>
    <row r="87" spans="1:4">
      <c r="A87">
        <v>83</v>
      </c>
      <c r="B87" s="90" t="s">
        <v>213</v>
      </c>
      <c r="C87" s="90" t="s">
        <v>66</v>
      </c>
      <c r="D87" s="90">
        <v>16</v>
      </c>
    </row>
    <row r="88" spans="1:4">
      <c r="A88">
        <v>84</v>
      </c>
      <c r="B88" s="90" t="s">
        <v>214</v>
      </c>
      <c r="C88" s="90" t="s">
        <v>66</v>
      </c>
      <c r="D88" s="90">
        <v>8</v>
      </c>
    </row>
    <row r="89" spans="1:4">
      <c r="A89">
        <v>85</v>
      </c>
      <c r="B89" s="90" t="s">
        <v>215</v>
      </c>
      <c r="C89" s="90" t="s">
        <v>64</v>
      </c>
      <c r="D89" s="90">
        <v>35</v>
      </c>
    </row>
    <row r="90" spans="1:4">
      <c r="A90">
        <v>86</v>
      </c>
      <c r="B90" s="90" t="s">
        <v>216</v>
      </c>
      <c r="C90" s="90" t="s">
        <v>64</v>
      </c>
      <c r="D90" s="90">
        <v>22</v>
      </c>
    </row>
    <row r="91" spans="1:4">
      <c r="A91">
        <v>87</v>
      </c>
      <c r="B91" s="90" t="s">
        <v>217</v>
      </c>
      <c r="C91" s="90" t="s">
        <v>66</v>
      </c>
      <c r="D91" s="90">
        <v>10</v>
      </c>
    </row>
    <row r="92" spans="1:4">
      <c r="A92">
        <v>88</v>
      </c>
      <c r="B92" s="90" t="s">
        <v>218</v>
      </c>
      <c r="C92" s="90" t="s">
        <v>66</v>
      </c>
      <c r="D92" s="90">
        <v>30</v>
      </c>
    </row>
    <row r="93" spans="1:4">
      <c r="A93">
        <v>89</v>
      </c>
      <c r="B93" s="90" t="s">
        <v>219</v>
      </c>
      <c r="C93" s="90" t="s">
        <v>64</v>
      </c>
      <c r="D93" s="90">
        <v>35</v>
      </c>
    </row>
    <row r="94" spans="1:4">
      <c r="A94">
        <v>90</v>
      </c>
      <c r="B94" s="90" t="s">
        <v>220</v>
      </c>
      <c r="C94" s="90" t="s">
        <v>66</v>
      </c>
      <c r="D94" s="90">
        <v>62</v>
      </c>
    </row>
    <row r="95" spans="1:4">
      <c r="A95">
        <v>91</v>
      </c>
      <c r="B95" s="90" t="s">
        <v>221</v>
      </c>
      <c r="C95" s="90" t="s">
        <v>66</v>
      </c>
      <c r="D95" s="90">
        <v>16</v>
      </c>
    </row>
    <row r="96" spans="1:4">
      <c r="A96">
        <v>92</v>
      </c>
      <c r="B96" s="90" t="s">
        <v>222</v>
      </c>
      <c r="C96" s="90" t="s">
        <v>64</v>
      </c>
      <c r="D96" s="90">
        <v>30</v>
      </c>
    </row>
    <row r="97" spans="1:4">
      <c r="A97">
        <v>93</v>
      </c>
      <c r="B97" s="90" t="s">
        <v>223</v>
      </c>
      <c r="C97" s="90" t="s">
        <v>64</v>
      </c>
      <c r="D97" s="90">
        <v>34</v>
      </c>
    </row>
    <row r="98" spans="1:4">
      <c r="A98">
        <v>94</v>
      </c>
      <c r="B98" s="90" t="s">
        <v>224</v>
      </c>
      <c r="C98" s="90" t="s">
        <v>64</v>
      </c>
      <c r="D98" s="90">
        <v>14</v>
      </c>
    </row>
    <row r="99" spans="1:4">
      <c r="A99">
        <v>95</v>
      </c>
      <c r="B99" s="90" t="s">
        <v>225</v>
      </c>
      <c r="C99" s="90" t="s">
        <v>66</v>
      </c>
      <c r="D99" s="90">
        <v>11</v>
      </c>
    </row>
    <row r="100" spans="1:4">
      <c r="A100">
        <v>96</v>
      </c>
      <c r="B100" s="90" t="s">
        <v>231</v>
      </c>
      <c r="C100" s="90" t="s">
        <v>64</v>
      </c>
      <c r="D100" s="90">
        <v>20</v>
      </c>
    </row>
    <row r="101" spans="1:4">
      <c r="A101">
        <v>97</v>
      </c>
      <c r="B101" t="s">
        <v>226</v>
      </c>
      <c r="C101" s="90" t="s">
        <v>64</v>
      </c>
      <c r="D101" s="90">
        <v>41</v>
      </c>
    </row>
    <row r="102" spans="1:4">
      <c r="A102">
        <v>98</v>
      </c>
      <c r="B102" s="110" t="s">
        <v>175</v>
      </c>
      <c r="C102" s="90" t="s">
        <v>64</v>
      </c>
      <c r="D102" s="90">
        <v>20</v>
      </c>
    </row>
    <row r="103" spans="1:4">
      <c r="A103">
        <v>99</v>
      </c>
      <c r="B103" s="110" t="s">
        <v>227</v>
      </c>
      <c r="C103" s="90" t="s">
        <v>64</v>
      </c>
      <c r="D103" s="90">
        <v>43</v>
      </c>
    </row>
    <row r="104" spans="1:4">
      <c r="A104">
        <v>100</v>
      </c>
      <c r="B104" s="110" t="s">
        <v>228</v>
      </c>
      <c r="C104" s="90" t="s">
        <v>64</v>
      </c>
      <c r="D104" s="90">
        <v>22</v>
      </c>
    </row>
    <row r="105" spans="1:4">
      <c r="A105">
        <v>101</v>
      </c>
      <c r="B105" t="s">
        <v>229</v>
      </c>
      <c r="C105" s="90" t="s">
        <v>64</v>
      </c>
      <c r="D105" s="90">
        <v>34</v>
      </c>
    </row>
  </sheetData>
  <mergeCells count="2">
    <mergeCell ref="F2:H2"/>
    <mergeCell ref="K2:M2"/>
  </mergeCells>
  <pageMargins left="0.7" right="0.7" top="0.75" bottom="0.75" header="0.3" footer="0.3"/>
  <pageSetup paperSize="9" orientation="portrait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N9" sqref="N9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5" max="5" width="17" customWidth="1"/>
    <col min="6" max="6" width="11.42578125" bestFit="1" customWidth="1"/>
    <col min="8" max="8" width="23.140625" customWidth="1"/>
    <col min="10" max="10" width="10.140625" customWidth="1"/>
    <col min="11" max="11" width="3.42578125" customWidth="1"/>
    <col min="12" max="12" width="3.140625" customWidth="1"/>
    <col min="13" max="13" width="34.28515625" customWidth="1"/>
    <col min="15" max="15" width="11.7109375" customWidth="1"/>
  </cols>
  <sheetData>
    <row r="1" spans="2:15" ht="15.75" thickBot="1"/>
    <row r="2" spans="2:15" ht="32.25" thickTop="1">
      <c r="B2" s="89">
        <v>2009</v>
      </c>
      <c r="H2" s="273" t="s">
        <v>140</v>
      </c>
      <c r="I2" s="274"/>
      <c r="J2" s="275"/>
      <c r="M2" s="273" t="s">
        <v>141</v>
      </c>
      <c r="N2" s="274"/>
      <c r="O2" s="275"/>
    </row>
    <row r="3" spans="2:15">
      <c r="H3" s="95"/>
      <c r="I3" s="90"/>
      <c r="J3" s="96"/>
      <c r="M3" s="95"/>
      <c r="N3" s="90"/>
      <c r="O3" s="96"/>
    </row>
    <row r="4" spans="2: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>
      <c r="B5" t="s">
        <v>96</v>
      </c>
      <c r="C5" t="s">
        <v>66</v>
      </c>
      <c r="D5">
        <v>4</v>
      </c>
      <c r="E5">
        <v>2</v>
      </c>
      <c r="F5" s="88">
        <f>Tabla689[[#This Row],[Texto completo]]/Tabla689[[#This Row],[Referencias]]</f>
        <v>0.5</v>
      </c>
      <c r="H5" s="95" t="s">
        <v>127</v>
      </c>
      <c r="I5" s="94">
        <f>STDEV(D5:D34)</f>
        <v>14.097403364066565</v>
      </c>
      <c r="J5" s="96"/>
      <c r="M5" s="95" t="s">
        <v>138</v>
      </c>
      <c r="N5" s="94">
        <f>Tabla689[[#Totals],[Texto completo]]/Tabla689[[#Totals],[Referencias]]</f>
        <v>0.55233291298865073</v>
      </c>
      <c r="O5" s="96"/>
    </row>
    <row r="6" spans="2:15">
      <c r="B6" t="s">
        <v>97</v>
      </c>
      <c r="C6" t="s">
        <v>64</v>
      </c>
      <c r="D6">
        <v>29</v>
      </c>
      <c r="E6">
        <v>18</v>
      </c>
      <c r="F6" s="88">
        <f>Tabla689[[#This Row],[Texto completo]]/Tabla689[[#This Row],[Referencias]]</f>
        <v>0.62068965517241381</v>
      </c>
      <c r="H6" s="95"/>
      <c r="I6" s="90"/>
      <c r="J6" s="96"/>
      <c r="M6" s="95"/>
      <c r="N6" s="90"/>
      <c r="O6" s="96"/>
    </row>
    <row r="7" spans="2:15">
      <c r="B7" t="s">
        <v>98</v>
      </c>
      <c r="C7" t="s">
        <v>64</v>
      </c>
      <c r="D7">
        <v>48</v>
      </c>
      <c r="E7">
        <v>7</v>
      </c>
      <c r="F7" s="88">
        <f>Tabla689[[#This Row],[Texto completo]]/Tabla689[[#This Row],[Referencias]]</f>
        <v>0.14583333333333334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>
      <c r="B8" t="s">
        <v>99</v>
      </c>
      <c r="C8" t="s">
        <v>64</v>
      </c>
      <c r="D8">
        <v>41</v>
      </c>
      <c r="E8">
        <v>15</v>
      </c>
      <c r="F8" s="88">
        <f>Tabla689[[#This Row],[Texto completo]]/Tabla689[[#This Row],[Referencias]]</f>
        <v>0.36585365853658536</v>
      </c>
      <c r="H8" s="95"/>
      <c r="I8" s="90"/>
      <c r="J8" s="96"/>
      <c r="M8" s="95"/>
      <c r="N8" s="90"/>
      <c r="O8" s="96"/>
    </row>
    <row r="9" spans="2:15">
      <c r="B9" t="s">
        <v>100</v>
      </c>
      <c r="C9" t="s">
        <v>64</v>
      </c>
      <c r="D9">
        <v>46</v>
      </c>
      <c r="E9">
        <v>25</v>
      </c>
      <c r="F9" s="88">
        <f>Tabla689[[#This Row],[Texto completo]]/Tabla689[[#This Row],[Referencias]]</f>
        <v>0.54347826086956519</v>
      </c>
      <c r="H9" s="95" t="s">
        <v>129</v>
      </c>
      <c r="I9" s="90">
        <v>5.0999999999999996</v>
      </c>
      <c r="J9" s="96"/>
      <c r="M9" s="95" t="s">
        <v>129</v>
      </c>
      <c r="N9" s="90">
        <v>3.6999999999999998E-2</v>
      </c>
      <c r="O9" s="96"/>
    </row>
    <row r="10" spans="2:15">
      <c r="B10" t="s">
        <v>101</v>
      </c>
      <c r="C10" t="s">
        <v>66</v>
      </c>
      <c r="D10">
        <v>18</v>
      </c>
      <c r="E10">
        <v>8</v>
      </c>
      <c r="F10" s="88">
        <f>Tabla689[[#This Row],[Texto completo]]/Tabla689[[#This Row],[Referencias]]</f>
        <v>0.44444444444444442</v>
      </c>
      <c r="H10" s="95"/>
      <c r="I10" s="90"/>
      <c r="J10" s="96"/>
      <c r="M10" s="95"/>
      <c r="N10" s="90"/>
      <c r="O10" s="96"/>
    </row>
    <row r="11" spans="2:15">
      <c r="B11" t="s">
        <v>102</v>
      </c>
      <c r="C11" t="s">
        <v>64</v>
      </c>
      <c r="D11">
        <v>29</v>
      </c>
      <c r="E11">
        <v>15</v>
      </c>
      <c r="F11" s="88">
        <f>Tabla689[[#This Row],[Texto completo]]/Tabla689[[#This Row],[Referencias]]</f>
        <v>0.51724137931034486</v>
      </c>
      <c r="H11" s="95" t="s">
        <v>130</v>
      </c>
      <c r="I11" s="91">
        <f>((I7*I7)*(I5*I5))/(I9*I9)</f>
        <v>29.352834303340437</v>
      </c>
      <c r="J11" s="96"/>
      <c r="M11" s="95" t="s">
        <v>130</v>
      </c>
      <c r="N11" s="91">
        <f>((N7*N7)*N5*(1-N5))/(N9*N9)</f>
        <v>693.84870730718683</v>
      </c>
      <c r="O11" s="96"/>
    </row>
    <row r="12" spans="2:15">
      <c r="B12" t="s">
        <v>103</v>
      </c>
      <c r="C12" t="s">
        <v>64</v>
      </c>
      <c r="D12">
        <v>22</v>
      </c>
      <c r="E12">
        <v>16</v>
      </c>
      <c r="F12" s="88">
        <f>Tabla689[[#This Row],[Texto completo]]/Tabla689[[#This Row],[Referencias]]</f>
        <v>0.72727272727272729</v>
      </c>
      <c r="H12" s="95"/>
      <c r="I12" s="90"/>
      <c r="J12" s="96"/>
      <c r="M12" s="95"/>
      <c r="N12" s="90"/>
      <c r="O12" s="96"/>
    </row>
    <row r="13" spans="2:15">
      <c r="B13" t="s">
        <v>104</v>
      </c>
      <c r="C13" t="s">
        <v>64</v>
      </c>
      <c r="D13">
        <v>20</v>
      </c>
      <c r="E13">
        <v>15</v>
      </c>
      <c r="F13" s="88">
        <f>Tabla689[[#This Row],[Texto completo]]/Tabla689[[#This Row],[Referencias]]</f>
        <v>0.75</v>
      </c>
      <c r="H13" s="95"/>
      <c r="I13" s="90"/>
      <c r="J13" s="96"/>
      <c r="M13" s="95"/>
      <c r="N13" s="90"/>
      <c r="O13" s="96"/>
    </row>
    <row r="14" spans="2:15">
      <c r="B14" t="s">
        <v>105</v>
      </c>
      <c r="C14" t="s">
        <v>66</v>
      </c>
      <c r="D14">
        <v>15</v>
      </c>
      <c r="E14">
        <v>4</v>
      </c>
      <c r="F14" s="88">
        <f>Tabla689[[#This Row],[Texto completo]]/Tabla689[[#This Row],[Referencias]]</f>
        <v>0.26666666666666666</v>
      </c>
      <c r="H14" s="95"/>
      <c r="I14" s="90"/>
      <c r="J14" s="96"/>
      <c r="M14" s="95"/>
      <c r="N14" s="90"/>
      <c r="O14" s="96"/>
    </row>
    <row r="15" spans="2:15">
      <c r="B15" t="s">
        <v>106</v>
      </c>
      <c r="C15" t="s">
        <v>64</v>
      </c>
      <c r="D15">
        <v>22</v>
      </c>
      <c r="E15">
        <v>14</v>
      </c>
      <c r="F15" s="88">
        <f>Tabla689[[#This Row],[Texto completo]]/Tabla689[[#This Row],[Referencias]]</f>
        <v>0.63636363636363635</v>
      </c>
      <c r="H15" s="95"/>
      <c r="I15" s="90"/>
      <c r="J15" s="96"/>
      <c r="M15" s="95"/>
      <c r="N15" s="90"/>
      <c r="O15" s="96"/>
    </row>
    <row r="16" spans="2:15">
      <c r="B16" t="s">
        <v>107</v>
      </c>
      <c r="C16" t="s">
        <v>64</v>
      </c>
      <c r="D16">
        <v>31</v>
      </c>
      <c r="E16">
        <v>29</v>
      </c>
      <c r="F16" s="88">
        <f>Tabla689[[#This Row],[Texto completo]]/Tabla689[[#This Row],[Referencias]]</f>
        <v>0.93548387096774188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>
      <c r="B17" t="s">
        <v>108</v>
      </c>
      <c r="C17" t="s">
        <v>64</v>
      </c>
      <c r="D17">
        <v>59</v>
      </c>
      <c r="E17">
        <v>37</v>
      </c>
      <c r="F17" s="88">
        <f>Tabla689[[#This Row],[Texto completo]]/Tabla689[[#This Row],[Referencias]]</f>
        <v>0.6271186440677966</v>
      </c>
      <c r="H17" s="95" t="s">
        <v>131</v>
      </c>
      <c r="I17" s="91">
        <f>AVERAGE(Tabla689[Referencias])</f>
        <v>26.433333333333334</v>
      </c>
      <c r="J17" s="96"/>
      <c r="M17" s="95" t="s">
        <v>138</v>
      </c>
      <c r="N17" s="94">
        <f>N5</f>
        <v>0.55233291298865073</v>
      </c>
      <c r="O17" s="96"/>
    </row>
    <row r="18" spans="2:15">
      <c r="B18" t="s">
        <v>109</v>
      </c>
      <c r="C18" t="s">
        <v>66</v>
      </c>
      <c r="D18">
        <v>12</v>
      </c>
      <c r="E18">
        <v>11</v>
      </c>
      <c r="F18" s="88">
        <f>Tabla689[[#This Row],[Texto completo]]/Tabla689[[#This Row],[Referencias]]</f>
        <v>0.91666666666666663</v>
      </c>
      <c r="H18" s="95"/>
      <c r="I18" s="90"/>
      <c r="J18" s="96"/>
      <c r="M18" s="95"/>
      <c r="N18" s="90"/>
      <c r="O18" s="96"/>
    </row>
    <row r="19" spans="2:15">
      <c r="B19" t="s">
        <v>110</v>
      </c>
      <c r="C19" t="s">
        <v>64</v>
      </c>
      <c r="D19">
        <v>34</v>
      </c>
      <c r="E19">
        <v>5</v>
      </c>
      <c r="F19" s="88">
        <f>Tabla689[[#This Row],[Texto completo]]/Tabla689[[#This Row],[Referencias]]</f>
        <v>0.14705882352941177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>
      <c r="B20" t="s">
        <v>111</v>
      </c>
      <c r="C20" t="s">
        <v>66</v>
      </c>
      <c r="D20">
        <v>9</v>
      </c>
      <c r="E20">
        <v>5</v>
      </c>
      <c r="F20" s="88">
        <f>Tabla689[[#This Row],[Texto completo]]/Tabla689[[#This Row],[Referencias]]</f>
        <v>0.55555555555555558</v>
      </c>
      <c r="H20" s="95"/>
      <c r="I20" s="90"/>
      <c r="J20" s="96"/>
      <c r="M20" s="95"/>
      <c r="N20" s="90"/>
      <c r="O20" s="96"/>
    </row>
    <row r="21" spans="2:15">
      <c r="B21" t="s">
        <v>112</v>
      </c>
      <c r="C21" t="s">
        <v>66</v>
      </c>
      <c r="D21">
        <v>10</v>
      </c>
      <c r="E21">
        <v>4</v>
      </c>
      <c r="F21" s="88">
        <f>Tabla689[[#This Row],[Texto completo]]/Tabla689[[#This Row],[Referencias]]</f>
        <v>0.4</v>
      </c>
      <c r="H21" s="95" t="s">
        <v>133</v>
      </c>
      <c r="I21" s="91">
        <f>I5/SQRT(30)</f>
        <v>2.5738219415828238</v>
      </c>
      <c r="J21" s="96"/>
      <c r="M21" s="95" t="s">
        <v>139</v>
      </c>
      <c r="N21" s="94">
        <f>SQRT($N$17*(1-$N$17)/Tabla689[[#Totals],[Referencias]])</f>
        <v>1.7657997492147543E-2</v>
      </c>
      <c r="O21" s="96"/>
    </row>
    <row r="22" spans="2:15">
      <c r="B22" t="s">
        <v>113</v>
      </c>
      <c r="C22" t="s">
        <v>66</v>
      </c>
      <c r="D22">
        <v>23</v>
      </c>
      <c r="E22">
        <v>9</v>
      </c>
      <c r="F22" s="88">
        <f>Tabla689[[#This Row],[Texto completo]]/Tabla689[[#This Row],[Referencias]]</f>
        <v>0.39130434782608697</v>
      </c>
      <c r="H22" s="95"/>
      <c r="I22" s="90"/>
      <c r="J22" s="96"/>
      <c r="M22" s="95"/>
      <c r="N22" s="90"/>
      <c r="O22" s="96"/>
    </row>
    <row r="23" spans="2:15" ht="15.75" thickBot="1">
      <c r="B23" t="s">
        <v>114</v>
      </c>
      <c r="C23" t="s">
        <v>64</v>
      </c>
      <c r="D23">
        <v>29</v>
      </c>
      <c r="E23">
        <v>11</v>
      </c>
      <c r="F23" s="88">
        <f>Tabla689[[#This Row],[Texto completo]]/Tabla689[[#This Row],[Referencias]]</f>
        <v>0.37931034482758619</v>
      </c>
      <c r="H23" s="97" t="s">
        <v>134</v>
      </c>
      <c r="I23" s="98">
        <f>$I$17-$I$19*$I$21</f>
        <v>21.388642327831001</v>
      </c>
      <c r="J23" s="99">
        <f>$I$17+$I$19*$I$21</f>
        <v>31.478024338835667</v>
      </c>
      <c r="K23" s="92"/>
      <c r="M23" s="97" t="s">
        <v>132</v>
      </c>
      <c r="N23" s="98">
        <f>$N$17-$N$19*N21</f>
        <v>0.51772323790404151</v>
      </c>
      <c r="O23" s="99">
        <f>$N$17+$N$19*$N$21</f>
        <v>0.58694258807325994</v>
      </c>
    </row>
    <row r="24" spans="2:15" ht="15.75" thickTop="1">
      <c r="B24" t="s">
        <v>115</v>
      </c>
      <c r="C24" t="s">
        <v>64</v>
      </c>
      <c r="D24">
        <v>20</v>
      </c>
      <c r="E24">
        <v>9</v>
      </c>
      <c r="F24" s="88">
        <f>Tabla689[[#This Row],[Texto completo]]/Tabla689[[#This Row],[Referencias]]</f>
        <v>0.45</v>
      </c>
    </row>
    <row r="25" spans="2:15">
      <c r="B25" t="s">
        <v>116</v>
      </c>
      <c r="C25" t="s">
        <v>64</v>
      </c>
      <c r="D25">
        <v>39</v>
      </c>
      <c r="E25">
        <v>25</v>
      </c>
      <c r="F25" s="88">
        <f>Tabla689[[#This Row],[Texto completo]]/Tabla689[[#This Row],[Referencias]]</f>
        <v>0.64102564102564108</v>
      </c>
    </row>
    <row r="26" spans="2:15">
      <c r="B26" t="s">
        <v>117</v>
      </c>
      <c r="C26" t="s">
        <v>66</v>
      </c>
      <c r="D26">
        <v>22</v>
      </c>
      <c r="E26">
        <v>17</v>
      </c>
      <c r="F26" s="88">
        <f>Tabla689[[#This Row],[Texto completo]]/Tabla689[[#This Row],[Referencias]]</f>
        <v>0.77272727272727271</v>
      </c>
    </row>
    <row r="27" spans="2:15">
      <c r="B27" t="s">
        <v>118</v>
      </c>
      <c r="C27" t="s">
        <v>64</v>
      </c>
      <c r="D27">
        <v>32</v>
      </c>
      <c r="E27">
        <v>14</v>
      </c>
      <c r="F27" s="88">
        <f>Tabla689[[#This Row],[Texto completo]]/Tabla689[[#This Row],[Referencias]]</f>
        <v>0.4375</v>
      </c>
    </row>
    <row r="28" spans="2:15">
      <c r="B28" t="s">
        <v>119</v>
      </c>
      <c r="C28" t="s">
        <v>64</v>
      </c>
      <c r="D28">
        <v>42</v>
      </c>
      <c r="E28">
        <v>33</v>
      </c>
      <c r="F28" s="88">
        <f>Tabla689[[#This Row],[Texto completo]]/Tabla689[[#This Row],[Referencias]]</f>
        <v>0.7857142857142857</v>
      </c>
    </row>
    <row r="29" spans="2:15">
      <c r="B29" t="s">
        <v>120</v>
      </c>
      <c r="C29" t="s">
        <v>64</v>
      </c>
      <c r="D29">
        <v>10</v>
      </c>
      <c r="E29">
        <v>9</v>
      </c>
      <c r="F29" s="88">
        <f>Tabla689[[#This Row],[Texto completo]]/Tabla689[[#This Row],[Referencias]]</f>
        <v>0.9</v>
      </c>
    </row>
    <row r="30" spans="2:15">
      <c r="B30" t="s">
        <v>121</v>
      </c>
      <c r="C30" t="s">
        <v>64</v>
      </c>
      <c r="D30">
        <v>21</v>
      </c>
      <c r="E30">
        <v>15</v>
      </c>
      <c r="F30" s="88">
        <f>Tabla689[[#This Row],[Texto completo]]/Tabla689[[#This Row],[Referencias]]</f>
        <v>0.7142857142857143</v>
      </c>
    </row>
    <row r="31" spans="2:15">
      <c r="B31" t="s">
        <v>122</v>
      </c>
      <c r="C31" t="s">
        <v>66</v>
      </c>
      <c r="D31">
        <v>11</v>
      </c>
      <c r="E31">
        <v>6</v>
      </c>
      <c r="F31" s="88">
        <f>Tabla689[[#This Row],[Texto completo]]/Tabla689[[#This Row],[Referencias]]</f>
        <v>0.54545454545454541</v>
      </c>
    </row>
    <row r="32" spans="2:15">
      <c r="B32" t="s">
        <v>123</v>
      </c>
      <c r="C32" t="s">
        <v>64</v>
      </c>
      <c r="D32">
        <v>46</v>
      </c>
      <c r="E32">
        <v>34</v>
      </c>
      <c r="F32" s="88">
        <f>Tabla689[[#This Row],[Texto completo]]/Tabla689[[#This Row],[Referencias]]</f>
        <v>0.73913043478260865</v>
      </c>
    </row>
    <row r="33" spans="2:6">
      <c r="B33" t="s">
        <v>124</v>
      </c>
      <c r="C33" t="s">
        <v>64</v>
      </c>
      <c r="D33">
        <v>41</v>
      </c>
      <c r="E33">
        <v>24</v>
      </c>
      <c r="F33" s="88">
        <f>Tabla689[[#This Row],[Texto completo]]/Tabla689[[#This Row],[Referencias]]</f>
        <v>0.58536585365853655</v>
      </c>
    </row>
    <row r="34" spans="2:6">
      <c r="B34" t="s">
        <v>125</v>
      </c>
      <c r="C34" t="s">
        <v>66</v>
      </c>
      <c r="D34">
        <v>8</v>
      </c>
      <c r="E34">
        <v>2</v>
      </c>
      <c r="F34" s="88">
        <f>Tabla689[[#This Row],[Texto completo]]/Tabla689[[#This Row],[Referencias]]</f>
        <v>0.25</v>
      </c>
    </row>
    <row r="35" spans="2:6">
      <c r="B35" s="90"/>
      <c r="C35" s="90"/>
      <c r="D35" s="90">
        <f>SUM(Tabla689[Referencias])</f>
        <v>793</v>
      </c>
      <c r="E35" s="90">
        <f>SUM(Tabla689[Texto completo])</f>
        <v>438</v>
      </c>
      <c r="F35" s="91">
        <f>SUBTOTAL(101,Tabla689[Porcentaje])</f>
        <v>0.55638485876863897</v>
      </c>
    </row>
  </sheetData>
  <mergeCells count="2">
    <mergeCell ref="H2:J2"/>
    <mergeCell ref="M2:O2"/>
  </mergeCells>
  <pageMargins left="0.7" right="0.7" top="0.75" bottom="0.75" header="0.3" footer="0.3"/>
  <pageSetup paperSize="9" orientation="portrait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topLeftCell="A16" workbookViewId="0">
      <selection activeCell="G23" sqref="G23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6" max="6" width="23.140625" customWidth="1"/>
    <col min="8" max="8" width="10.140625" customWidth="1"/>
    <col min="9" max="9" width="3.42578125" customWidth="1"/>
    <col min="10" max="10" width="3.140625" customWidth="1"/>
    <col min="11" max="11" width="34.28515625" customWidth="1"/>
    <col min="13" max="13" width="11.7109375" customWidth="1"/>
  </cols>
  <sheetData>
    <row r="1" spans="1:13" ht="15.75" thickBot="1"/>
    <row r="2" spans="1:13" ht="32.25" thickTop="1">
      <c r="B2" s="89">
        <v>2009</v>
      </c>
      <c r="F2" s="273" t="s">
        <v>140</v>
      </c>
      <c r="G2" s="274"/>
      <c r="H2" s="275"/>
      <c r="K2" s="276"/>
      <c r="L2" s="276"/>
      <c r="M2" s="276"/>
    </row>
    <row r="3" spans="1:13">
      <c r="F3" s="95"/>
      <c r="G3" s="90"/>
      <c r="H3" s="96"/>
    </row>
    <row r="4" spans="1:13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13">
      <c r="A5">
        <v>1</v>
      </c>
      <c r="B5" t="s">
        <v>96</v>
      </c>
      <c r="C5" t="s">
        <v>66</v>
      </c>
      <c r="D5">
        <v>4</v>
      </c>
      <c r="F5" s="95" t="s">
        <v>127</v>
      </c>
      <c r="G5" s="94">
        <f>STDEV(D5:D34)</f>
        <v>14.097403364066565</v>
      </c>
      <c r="H5" s="96"/>
    </row>
    <row r="6" spans="1:13">
      <c r="A6">
        <v>2</v>
      </c>
      <c r="B6" t="s">
        <v>97</v>
      </c>
      <c r="C6" t="s">
        <v>64</v>
      </c>
      <c r="D6">
        <v>29</v>
      </c>
      <c r="F6" s="95"/>
      <c r="G6" s="90"/>
      <c r="H6" s="96"/>
    </row>
    <row r="7" spans="1:13">
      <c r="A7">
        <v>3</v>
      </c>
      <c r="B7" t="s">
        <v>98</v>
      </c>
      <c r="C7" t="s">
        <v>64</v>
      </c>
      <c r="D7">
        <v>48</v>
      </c>
      <c r="F7" s="95" t="s">
        <v>128</v>
      </c>
      <c r="G7" s="90">
        <v>1.96</v>
      </c>
      <c r="H7" s="96"/>
    </row>
    <row r="8" spans="1:13">
      <c r="A8">
        <v>4</v>
      </c>
      <c r="B8" t="s">
        <v>99</v>
      </c>
      <c r="C8" t="s">
        <v>64</v>
      </c>
      <c r="D8">
        <v>41</v>
      </c>
      <c r="F8" s="95"/>
      <c r="G8" s="90"/>
      <c r="H8" s="96"/>
    </row>
    <row r="9" spans="1:13">
      <c r="A9">
        <v>5</v>
      </c>
      <c r="B9" t="s">
        <v>100</v>
      </c>
      <c r="C9" t="s">
        <v>64</v>
      </c>
      <c r="D9">
        <v>46</v>
      </c>
      <c r="F9" s="95" t="s">
        <v>129</v>
      </c>
      <c r="G9" s="90">
        <v>4</v>
      </c>
      <c r="H9" s="96"/>
    </row>
    <row r="10" spans="1:13">
      <c r="A10">
        <v>6</v>
      </c>
      <c r="B10" t="s">
        <v>101</v>
      </c>
      <c r="C10" t="s">
        <v>66</v>
      </c>
      <c r="D10">
        <v>18</v>
      </c>
      <c r="F10" s="95"/>
      <c r="G10" s="90"/>
      <c r="H10" s="96"/>
    </row>
    <row r="11" spans="1:13">
      <c r="A11">
        <v>7</v>
      </c>
      <c r="B11" t="s">
        <v>102</v>
      </c>
      <c r="C11" t="s">
        <v>64</v>
      </c>
      <c r="D11">
        <v>29</v>
      </c>
      <c r="F11" s="95" t="s">
        <v>130</v>
      </c>
      <c r="G11" s="91">
        <f>((G7*G7)*(G5*G5))/(G9*G9)</f>
        <v>47.716701264367792</v>
      </c>
      <c r="H11" s="96"/>
    </row>
    <row r="12" spans="1:13">
      <c r="A12">
        <v>8</v>
      </c>
      <c r="B12" t="s">
        <v>103</v>
      </c>
      <c r="C12" t="s">
        <v>64</v>
      </c>
      <c r="D12">
        <v>22</v>
      </c>
      <c r="F12" s="95"/>
      <c r="G12" s="90"/>
      <c r="H12" s="96"/>
    </row>
    <row r="13" spans="1:13">
      <c r="A13">
        <v>9</v>
      </c>
      <c r="B13" t="s">
        <v>104</v>
      </c>
      <c r="C13" t="s">
        <v>64</v>
      </c>
      <c r="D13">
        <v>20</v>
      </c>
      <c r="F13" s="95"/>
      <c r="G13" s="90"/>
      <c r="H13" s="96"/>
    </row>
    <row r="14" spans="1:13">
      <c r="A14">
        <v>10</v>
      </c>
      <c r="B14" t="s">
        <v>105</v>
      </c>
      <c r="C14" t="s">
        <v>66</v>
      </c>
      <c r="D14">
        <v>15</v>
      </c>
      <c r="F14" s="95"/>
      <c r="G14" s="90"/>
      <c r="H14" s="96"/>
    </row>
    <row r="15" spans="1:13">
      <c r="A15">
        <v>11</v>
      </c>
      <c r="B15" t="s">
        <v>106</v>
      </c>
      <c r="C15" t="s">
        <v>64</v>
      </c>
      <c r="D15">
        <v>22</v>
      </c>
      <c r="F15" s="95"/>
      <c r="G15" s="90"/>
      <c r="H15" s="96"/>
    </row>
    <row r="16" spans="1:13">
      <c r="A16">
        <v>12</v>
      </c>
      <c r="B16" t="s">
        <v>107</v>
      </c>
      <c r="C16" t="s">
        <v>64</v>
      </c>
      <c r="D16">
        <v>31</v>
      </c>
      <c r="F16" s="95" t="s">
        <v>137</v>
      </c>
      <c r="G16" s="91" t="s">
        <v>136</v>
      </c>
      <c r="H16" s="96" t="s">
        <v>135</v>
      </c>
    </row>
    <row r="17" spans="1:9">
      <c r="A17">
        <v>13</v>
      </c>
      <c r="B17" t="s">
        <v>108</v>
      </c>
      <c r="C17" t="s">
        <v>64</v>
      </c>
      <c r="D17">
        <v>59</v>
      </c>
      <c r="F17" s="95" t="s">
        <v>131</v>
      </c>
      <c r="G17" s="91">
        <f>AVERAGE(D5:D52)</f>
        <v>24.875</v>
      </c>
      <c r="H17" s="96"/>
    </row>
    <row r="18" spans="1:9">
      <c r="A18">
        <v>14</v>
      </c>
      <c r="B18" t="s">
        <v>109</v>
      </c>
      <c r="C18" t="s">
        <v>66</v>
      </c>
      <c r="D18">
        <v>12</v>
      </c>
      <c r="F18" s="95"/>
      <c r="G18" s="90"/>
      <c r="H18" s="96"/>
    </row>
    <row r="19" spans="1:9">
      <c r="A19">
        <v>15</v>
      </c>
      <c r="B19" t="s">
        <v>110</v>
      </c>
      <c r="C19" t="s">
        <v>64</v>
      </c>
      <c r="D19">
        <v>34</v>
      </c>
      <c r="F19" s="95" t="s">
        <v>128</v>
      </c>
      <c r="G19" s="90">
        <v>1.96</v>
      </c>
      <c r="H19" s="96"/>
    </row>
    <row r="20" spans="1:9">
      <c r="A20">
        <v>16</v>
      </c>
      <c r="B20" t="s">
        <v>111</v>
      </c>
      <c r="C20" t="s">
        <v>66</v>
      </c>
      <c r="D20">
        <v>9</v>
      </c>
      <c r="F20" s="95"/>
      <c r="G20" s="90"/>
      <c r="H20" s="96"/>
    </row>
    <row r="21" spans="1:9">
      <c r="A21">
        <v>17</v>
      </c>
      <c r="B21" t="s">
        <v>112</v>
      </c>
      <c r="C21" t="s">
        <v>66</v>
      </c>
      <c r="D21">
        <v>10</v>
      </c>
      <c r="F21" s="95" t="s">
        <v>133</v>
      </c>
      <c r="G21" s="91">
        <f>G5/SQRT(48)</f>
        <v>2.0347849067796417</v>
      </c>
      <c r="H21" s="96"/>
    </row>
    <row r="22" spans="1:9">
      <c r="A22">
        <v>18</v>
      </c>
      <c r="B22" t="s">
        <v>113</v>
      </c>
      <c r="C22" t="s">
        <v>66</v>
      </c>
      <c r="D22">
        <v>23</v>
      </c>
      <c r="F22" s="95"/>
      <c r="G22" s="90"/>
      <c r="H22" s="96"/>
    </row>
    <row r="23" spans="1:9" ht="15.75" thickBot="1">
      <c r="A23">
        <v>19</v>
      </c>
      <c r="B23" t="s">
        <v>114</v>
      </c>
      <c r="C23" t="s">
        <v>64</v>
      </c>
      <c r="D23">
        <v>29</v>
      </c>
      <c r="F23" s="97" t="s">
        <v>134</v>
      </c>
      <c r="G23" s="98">
        <f>$G$17-$G$19*$G$21</f>
        <v>20.886821582711903</v>
      </c>
      <c r="H23" s="99">
        <f>$G$17+$G$19*$G$21</f>
        <v>28.863178417288097</v>
      </c>
      <c r="I23" s="92"/>
    </row>
    <row r="24" spans="1:9" ht="15.75" thickTop="1">
      <c r="A24">
        <v>20</v>
      </c>
      <c r="B24" t="s">
        <v>115</v>
      </c>
      <c r="C24" t="s">
        <v>64</v>
      </c>
      <c r="D24">
        <v>20</v>
      </c>
    </row>
    <row r="25" spans="1:9">
      <c r="A25">
        <v>21</v>
      </c>
      <c r="B25" t="s">
        <v>116</v>
      </c>
      <c r="C25" t="s">
        <v>64</v>
      </c>
      <c r="D25">
        <v>39</v>
      </c>
    </row>
    <row r="26" spans="1:9">
      <c r="A26">
        <v>22</v>
      </c>
      <c r="B26" t="s">
        <v>117</v>
      </c>
      <c r="C26" t="s">
        <v>66</v>
      </c>
      <c r="D26">
        <v>22</v>
      </c>
    </row>
    <row r="27" spans="1:9">
      <c r="A27">
        <v>23</v>
      </c>
      <c r="B27" t="s">
        <v>118</v>
      </c>
      <c r="C27" t="s">
        <v>64</v>
      </c>
      <c r="D27">
        <v>32</v>
      </c>
    </row>
    <row r="28" spans="1:9">
      <c r="A28">
        <v>24</v>
      </c>
      <c r="B28" t="s">
        <v>119</v>
      </c>
      <c r="C28" t="s">
        <v>64</v>
      </c>
      <c r="D28">
        <v>42</v>
      </c>
    </row>
    <row r="29" spans="1:9">
      <c r="A29">
        <v>25</v>
      </c>
      <c r="B29" t="s">
        <v>120</v>
      </c>
      <c r="C29" t="s">
        <v>64</v>
      </c>
      <c r="D29">
        <v>10</v>
      </c>
    </row>
    <row r="30" spans="1:9">
      <c r="A30">
        <v>26</v>
      </c>
      <c r="B30" t="s">
        <v>121</v>
      </c>
      <c r="C30" t="s">
        <v>64</v>
      </c>
      <c r="D30">
        <v>21</v>
      </c>
    </row>
    <row r="31" spans="1:9">
      <c r="A31">
        <v>27</v>
      </c>
      <c r="B31" t="s">
        <v>122</v>
      </c>
      <c r="C31" t="s">
        <v>66</v>
      </c>
      <c r="D31">
        <v>11</v>
      </c>
    </row>
    <row r="32" spans="1:9">
      <c r="A32">
        <v>28</v>
      </c>
      <c r="B32" t="s">
        <v>123</v>
      </c>
      <c r="C32" t="s">
        <v>64</v>
      </c>
      <c r="D32">
        <v>46</v>
      </c>
    </row>
    <row r="33" spans="1:4">
      <c r="A33">
        <v>29</v>
      </c>
      <c r="B33" t="s">
        <v>124</v>
      </c>
      <c r="C33" t="s">
        <v>64</v>
      </c>
      <c r="D33">
        <v>41</v>
      </c>
    </row>
    <row r="34" spans="1:4">
      <c r="A34">
        <v>30</v>
      </c>
      <c r="B34" t="s">
        <v>125</v>
      </c>
      <c r="C34" t="s">
        <v>66</v>
      </c>
      <c r="D34">
        <v>8</v>
      </c>
    </row>
    <row r="35" spans="1:4">
      <c r="A35">
        <v>31</v>
      </c>
      <c r="B35" t="s">
        <v>233</v>
      </c>
      <c r="C35" s="90" t="s">
        <v>66</v>
      </c>
      <c r="D35" s="90">
        <v>18</v>
      </c>
    </row>
    <row r="36" spans="1:4">
      <c r="A36">
        <v>32</v>
      </c>
      <c r="B36" t="s">
        <v>234</v>
      </c>
      <c r="C36" s="90" t="s">
        <v>66</v>
      </c>
      <c r="D36" s="90">
        <v>6</v>
      </c>
    </row>
    <row r="37" spans="1:4">
      <c r="A37">
        <v>33</v>
      </c>
      <c r="B37" t="s">
        <v>235</v>
      </c>
      <c r="C37" s="90" t="s">
        <v>66</v>
      </c>
      <c r="D37" s="90">
        <v>12</v>
      </c>
    </row>
    <row r="38" spans="1:4">
      <c r="A38">
        <v>34</v>
      </c>
      <c r="B38" t="s">
        <v>236</v>
      </c>
      <c r="C38" s="90" t="s">
        <v>66</v>
      </c>
      <c r="D38" s="90">
        <v>5</v>
      </c>
    </row>
    <row r="39" spans="1:4">
      <c r="A39">
        <v>35</v>
      </c>
      <c r="B39" t="s">
        <v>237</v>
      </c>
      <c r="C39" s="90" t="s">
        <v>66</v>
      </c>
      <c r="D39" s="90">
        <v>6</v>
      </c>
    </row>
    <row r="40" spans="1:4">
      <c r="A40">
        <v>36</v>
      </c>
      <c r="B40" t="s">
        <v>116</v>
      </c>
      <c r="C40" s="90" t="s">
        <v>64</v>
      </c>
      <c r="D40" s="90">
        <v>39</v>
      </c>
    </row>
    <row r="41" spans="1:4">
      <c r="A41">
        <v>37</v>
      </c>
      <c r="B41" t="s">
        <v>238</v>
      </c>
      <c r="C41" s="90" t="s">
        <v>64</v>
      </c>
      <c r="D41" s="90">
        <v>17</v>
      </c>
    </row>
    <row r="42" spans="1:4">
      <c r="A42">
        <v>38</v>
      </c>
      <c r="B42" t="s">
        <v>239</v>
      </c>
      <c r="C42" s="90" t="s">
        <v>66</v>
      </c>
      <c r="D42" s="90">
        <v>6</v>
      </c>
    </row>
    <row r="43" spans="1:4">
      <c r="A43">
        <v>39</v>
      </c>
      <c r="B43" t="s">
        <v>240</v>
      </c>
      <c r="C43" s="90" t="s">
        <v>64</v>
      </c>
      <c r="D43" s="90">
        <v>12</v>
      </c>
    </row>
    <row r="44" spans="1:4">
      <c r="A44">
        <v>40</v>
      </c>
      <c r="B44" t="s">
        <v>241</v>
      </c>
      <c r="C44" s="90" t="s">
        <v>66</v>
      </c>
      <c r="D44" s="90">
        <v>12</v>
      </c>
    </row>
    <row r="45" spans="1:4">
      <c r="A45">
        <v>41</v>
      </c>
      <c r="B45" t="s">
        <v>301</v>
      </c>
      <c r="C45" s="90" t="s">
        <v>64</v>
      </c>
      <c r="D45" s="90">
        <v>65</v>
      </c>
    </row>
    <row r="46" spans="1:4">
      <c r="A46">
        <v>42</v>
      </c>
      <c r="B46" t="s">
        <v>302</v>
      </c>
      <c r="C46" s="90" t="s">
        <v>64</v>
      </c>
      <c r="D46" s="90">
        <v>30</v>
      </c>
    </row>
    <row r="47" spans="1:4">
      <c r="A47">
        <v>43</v>
      </c>
      <c r="B47" t="s">
        <v>303</v>
      </c>
      <c r="C47" s="90" t="s">
        <v>64</v>
      </c>
      <c r="D47" s="90">
        <v>37</v>
      </c>
    </row>
    <row r="48" spans="1:4">
      <c r="A48">
        <v>44</v>
      </c>
      <c r="B48" t="s">
        <v>304</v>
      </c>
      <c r="C48" s="90" t="s">
        <v>64</v>
      </c>
      <c r="D48" s="90">
        <v>57</v>
      </c>
    </row>
    <row r="49" spans="1:4">
      <c r="A49">
        <v>45</v>
      </c>
      <c r="B49" t="s">
        <v>305</v>
      </c>
      <c r="C49" s="90" t="s">
        <v>64</v>
      </c>
      <c r="D49" s="90">
        <v>15</v>
      </c>
    </row>
    <row r="50" spans="1:4">
      <c r="A50">
        <v>46</v>
      </c>
      <c r="B50" s="90" t="s">
        <v>306</v>
      </c>
      <c r="C50" s="90" t="s">
        <v>64</v>
      </c>
      <c r="D50" s="90">
        <v>12</v>
      </c>
    </row>
    <row r="51" spans="1:4">
      <c r="A51">
        <v>47</v>
      </c>
      <c r="B51" t="s">
        <v>307</v>
      </c>
      <c r="C51" s="90" t="s">
        <v>64</v>
      </c>
      <c r="D51" s="90">
        <v>29</v>
      </c>
    </row>
    <row r="52" spans="1:4">
      <c r="A52">
        <v>48</v>
      </c>
      <c r="B52" s="90" t="s">
        <v>308</v>
      </c>
      <c r="C52" s="90" t="s">
        <v>64</v>
      </c>
      <c r="D52" s="90">
        <v>23</v>
      </c>
    </row>
  </sheetData>
  <mergeCells count="2">
    <mergeCell ref="F2:H2"/>
    <mergeCell ref="K2:M2"/>
  </mergeCells>
  <pageMargins left="0.7" right="0.7" top="0.75" bottom="0.75" header="0.3" footer="0.3"/>
  <pageSetup paperSize="9" orientation="portrait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D35" sqref="D35"/>
    </sheetView>
  </sheetViews>
  <sheetFormatPr baseColWidth="10" defaultRowHeight="15"/>
  <cols>
    <col min="2" max="2" width="25" bestFit="1" customWidth="1"/>
    <col min="3" max="3" width="17" bestFit="1" customWidth="1"/>
    <col min="4" max="4" width="13.42578125" customWidth="1"/>
    <col min="5" max="5" width="17" customWidth="1"/>
    <col min="6" max="6" width="11.42578125" bestFit="1" customWidth="1"/>
    <col min="8" max="8" width="21.42578125" bestFit="1" customWidth="1"/>
    <col min="9" max="10" width="12" customWidth="1"/>
    <col min="11" max="11" width="2.42578125" customWidth="1"/>
    <col min="12" max="12" width="2.7109375" customWidth="1"/>
    <col min="13" max="13" width="32" bestFit="1" customWidth="1"/>
    <col min="14" max="14" width="12.42578125" bestFit="1" customWidth="1"/>
    <col min="15" max="15" width="12" customWidth="1"/>
  </cols>
  <sheetData>
    <row r="1" spans="2:15" ht="15.75" thickBot="1"/>
    <row r="2" spans="2:15" ht="32.25" thickTop="1">
      <c r="B2" s="89">
        <v>2010</v>
      </c>
      <c r="H2" s="273" t="s">
        <v>140</v>
      </c>
      <c r="I2" s="274"/>
      <c r="J2" s="275"/>
      <c r="M2" s="273" t="s">
        <v>141</v>
      </c>
      <c r="N2" s="274"/>
      <c r="O2" s="275"/>
    </row>
    <row r="3" spans="2:15">
      <c r="H3" s="95"/>
      <c r="I3" s="90"/>
      <c r="J3" s="96"/>
      <c r="M3" s="95"/>
      <c r="N3" s="90"/>
      <c r="O3" s="96"/>
    </row>
    <row r="4" spans="2: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>
      <c r="B5" t="s">
        <v>65</v>
      </c>
      <c r="C5" t="s">
        <v>66</v>
      </c>
      <c r="D5">
        <v>5</v>
      </c>
      <c r="E5">
        <v>4</v>
      </c>
      <c r="F5" s="88">
        <f>Tabla68[[#This Row],[Texto completo]]/Tabla68[[#This Row],[Referencias]]</f>
        <v>0.8</v>
      </c>
      <c r="H5" s="95" t="s">
        <v>127</v>
      </c>
      <c r="I5" s="94">
        <f>STDEV(D5:D34)</f>
        <v>17.83242558652217</v>
      </c>
      <c r="J5" s="96"/>
      <c r="M5" s="95" t="s">
        <v>138</v>
      </c>
      <c r="N5" s="94">
        <f>Tabla68[[#Totals],[Texto completo]]/Tabla68[[#Totals],[Referencias]]</f>
        <v>0.65186246418338112</v>
      </c>
      <c r="O5" s="96"/>
    </row>
    <row r="6" spans="2:15">
      <c r="B6" t="s">
        <v>72</v>
      </c>
      <c r="C6" t="s">
        <v>66</v>
      </c>
      <c r="D6">
        <v>3</v>
      </c>
      <c r="E6">
        <v>2</v>
      </c>
      <c r="F6" s="88">
        <f>Tabla68[[#This Row],[Texto completo]]/Tabla68[[#This Row],[Referencias]]</f>
        <v>0.66666666666666663</v>
      </c>
      <c r="H6" s="95"/>
      <c r="I6" s="90"/>
      <c r="J6" s="96"/>
      <c r="M6" s="95"/>
      <c r="N6" s="90"/>
      <c r="O6" s="96"/>
    </row>
    <row r="7" spans="2:15">
      <c r="B7" t="s">
        <v>67</v>
      </c>
      <c r="C7" t="s">
        <v>66</v>
      </c>
      <c r="D7">
        <v>15</v>
      </c>
      <c r="E7">
        <v>6</v>
      </c>
      <c r="F7" s="88">
        <f>Tabla68[[#This Row],[Texto completo]]/Tabla68[[#This Row],[Referencias]]</f>
        <v>0.4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>
      <c r="B8" t="s">
        <v>68</v>
      </c>
      <c r="C8" t="s">
        <v>66</v>
      </c>
      <c r="D8">
        <v>11</v>
      </c>
      <c r="E8">
        <v>5</v>
      </c>
      <c r="F8" s="88">
        <f>Tabla68[[#This Row],[Texto completo]]/Tabla68[[#This Row],[Referencias]]</f>
        <v>0.45454545454545453</v>
      </c>
      <c r="H8" s="95"/>
      <c r="I8" s="90"/>
      <c r="J8" s="96"/>
      <c r="M8" s="95"/>
      <c r="N8" s="90"/>
      <c r="O8" s="96"/>
    </row>
    <row r="9" spans="2:15">
      <c r="B9" t="s">
        <v>69</v>
      </c>
      <c r="C9" t="s">
        <v>64</v>
      </c>
      <c r="D9">
        <v>71</v>
      </c>
      <c r="E9">
        <v>51</v>
      </c>
      <c r="F9" s="88">
        <f>Tabla68[[#This Row],[Texto completo]]/Tabla68[[#This Row],[Referencias]]</f>
        <v>0.71830985915492962</v>
      </c>
      <c r="H9" s="95" t="s">
        <v>129</v>
      </c>
      <c r="I9" s="90">
        <v>7</v>
      </c>
      <c r="J9" s="96"/>
      <c r="M9" s="95" t="s">
        <v>129</v>
      </c>
      <c r="N9" s="90">
        <v>3.6999999999999998E-2</v>
      </c>
      <c r="O9" s="96"/>
    </row>
    <row r="10" spans="2:15">
      <c r="B10" t="s">
        <v>70</v>
      </c>
      <c r="C10" t="s">
        <v>64</v>
      </c>
      <c r="D10">
        <v>41</v>
      </c>
      <c r="E10">
        <v>29</v>
      </c>
      <c r="F10" s="88">
        <f>Tabla68[[#This Row],[Texto completo]]/Tabla68[[#This Row],[Referencias]]</f>
        <v>0.70731707317073167</v>
      </c>
      <c r="H10" s="95"/>
      <c r="I10" s="90"/>
      <c r="J10" s="96"/>
      <c r="M10" s="95"/>
      <c r="N10" s="90"/>
      <c r="O10" s="96"/>
    </row>
    <row r="11" spans="2:15">
      <c r="B11" t="s">
        <v>71</v>
      </c>
      <c r="C11" t="s">
        <v>64</v>
      </c>
      <c r="D11">
        <v>44</v>
      </c>
      <c r="E11">
        <v>26</v>
      </c>
      <c r="F11" s="88">
        <f>Tabla68[[#This Row],[Texto completo]]/Tabla68[[#This Row],[Referencias]]</f>
        <v>0.59090909090909094</v>
      </c>
      <c r="H11" s="95" t="s">
        <v>130</v>
      </c>
      <c r="I11" s="91">
        <f>((I7*I7)*(I5*I5))/(I9*I9)</f>
        <v>24.930839540229879</v>
      </c>
      <c r="J11" s="96"/>
      <c r="M11" s="95" t="s">
        <v>130</v>
      </c>
      <c r="N11" s="91">
        <f>((N7*N7)*N5*(1-N5))/(N9*N9)</f>
        <v>636.81827731206465</v>
      </c>
      <c r="O11" s="96"/>
    </row>
    <row r="12" spans="2:15">
      <c r="B12" t="s">
        <v>73</v>
      </c>
      <c r="C12" t="s">
        <v>64</v>
      </c>
      <c r="D12">
        <v>5</v>
      </c>
      <c r="E12">
        <v>0</v>
      </c>
      <c r="F12" s="88">
        <f>Tabla68[[#This Row],[Texto completo]]/Tabla68[[#This Row],[Referencias]]</f>
        <v>0</v>
      </c>
      <c r="H12" s="95"/>
      <c r="I12" s="90"/>
      <c r="J12" s="96"/>
      <c r="M12" s="95"/>
      <c r="N12" s="90"/>
      <c r="O12" s="96"/>
    </row>
    <row r="13" spans="2:15">
      <c r="B13" t="s">
        <v>74</v>
      </c>
      <c r="C13" t="s">
        <v>64</v>
      </c>
      <c r="D13">
        <v>49</v>
      </c>
      <c r="E13">
        <v>40</v>
      </c>
      <c r="F13" s="88">
        <f>Tabla68[[#This Row],[Texto completo]]/Tabla68[[#This Row],[Referencias]]</f>
        <v>0.81632653061224492</v>
      </c>
      <c r="H13" s="95"/>
      <c r="I13" s="90"/>
      <c r="J13" s="96"/>
      <c r="M13" s="95"/>
      <c r="N13" s="90"/>
      <c r="O13" s="96"/>
    </row>
    <row r="14" spans="2:15">
      <c r="B14" t="s">
        <v>75</v>
      </c>
      <c r="C14" t="s">
        <v>64</v>
      </c>
      <c r="D14">
        <v>24</v>
      </c>
      <c r="E14">
        <v>18</v>
      </c>
      <c r="F14" s="88">
        <f>Tabla68[[#This Row],[Texto completo]]/Tabla68[[#This Row],[Referencias]]</f>
        <v>0.75</v>
      </c>
      <c r="H14" s="95"/>
      <c r="I14" s="90"/>
      <c r="J14" s="96"/>
      <c r="M14" s="95"/>
      <c r="N14" s="90"/>
      <c r="O14" s="96"/>
    </row>
    <row r="15" spans="2:15">
      <c r="B15" t="s">
        <v>76</v>
      </c>
      <c r="C15" t="s">
        <v>66</v>
      </c>
      <c r="D15">
        <v>1</v>
      </c>
      <c r="E15">
        <v>1</v>
      </c>
      <c r="F15" s="88">
        <f>Tabla68[[#This Row],[Texto completo]]/Tabla68[[#This Row],[Referencias]]</f>
        <v>1</v>
      </c>
      <c r="H15" s="95"/>
      <c r="I15" s="90"/>
      <c r="J15" s="96"/>
      <c r="M15" s="95"/>
      <c r="N15" s="90"/>
      <c r="O15" s="96"/>
    </row>
    <row r="16" spans="2:15">
      <c r="B16" t="s">
        <v>77</v>
      </c>
      <c r="C16" t="s">
        <v>66</v>
      </c>
      <c r="D16">
        <v>5</v>
      </c>
      <c r="E16">
        <v>3</v>
      </c>
      <c r="F16" s="88">
        <f>Tabla68[[#This Row],[Texto completo]]/Tabla68[[#This Row],[Referencias]]</f>
        <v>0.6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>
      <c r="B17" t="s">
        <v>78</v>
      </c>
      <c r="C17" t="s">
        <v>64</v>
      </c>
      <c r="D17">
        <v>25</v>
      </c>
      <c r="E17">
        <v>15</v>
      </c>
      <c r="F17" s="88">
        <f>Tabla68[[#This Row],[Texto completo]]/Tabla68[[#This Row],[Referencias]]</f>
        <v>0.6</v>
      </c>
      <c r="H17" s="95" t="s">
        <v>131</v>
      </c>
      <c r="I17" s="91">
        <f>AVERAGE(Tabla68[Referencias])</f>
        <v>23.266666666666666</v>
      </c>
      <c r="J17" s="96"/>
      <c r="M17" s="95" t="s">
        <v>138</v>
      </c>
      <c r="N17" s="94">
        <f>Tabla68[[#Totals],[Texto completo]]/Tabla68[[#Totals],[Referencias]]</f>
        <v>0.65186246418338112</v>
      </c>
      <c r="O17" s="96"/>
    </row>
    <row r="18" spans="2:15">
      <c r="B18" t="s">
        <v>79</v>
      </c>
      <c r="C18" t="s">
        <v>64</v>
      </c>
      <c r="D18">
        <v>17</v>
      </c>
      <c r="E18">
        <v>13</v>
      </c>
      <c r="F18" s="88">
        <f>Tabla68[[#This Row],[Texto completo]]/Tabla68[[#This Row],[Referencias]]</f>
        <v>0.76470588235294112</v>
      </c>
      <c r="H18" s="95"/>
      <c r="I18" s="90"/>
      <c r="J18" s="96"/>
      <c r="M18" s="95"/>
      <c r="N18" s="90"/>
      <c r="O18" s="96"/>
    </row>
    <row r="19" spans="2:15">
      <c r="B19" t="s">
        <v>80</v>
      </c>
      <c r="C19" t="s">
        <v>66</v>
      </c>
      <c r="D19">
        <v>7</v>
      </c>
      <c r="E19">
        <v>4</v>
      </c>
      <c r="F19" s="88">
        <f>Tabla68[[#This Row],[Texto completo]]/Tabla68[[#This Row],[Referencias]]</f>
        <v>0.5714285714285714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>
      <c r="B20" t="s">
        <v>81</v>
      </c>
      <c r="C20" t="s">
        <v>64</v>
      </c>
      <c r="D20">
        <v>32</v>
      </c>
      <c r="E20">
        <v>27</v>
      </c>
      <c r="F20" s="88">
        <f>Tabla68[[#This Row],[Texto completo]]/Tabla68[[#This Row],[Referencias]]</f>
        <v>0.84375</v>
      </c>
      <c r="H20" s="95"/>
      <c r="I20" s="90"/>
      <c r="J20" s="96"/>
      <c r="M20" s="95"/>
      <c r="N20" s="90"/>
      <c r="O20" s="96"/>
    </row>
    <row r="21" spans="2:15">
      <c r="B21" t="s">
        <v>82</v>
      </c>
      <c r="C21" t="s">
        <v>66</v>
      </c>
      <c r="D21">
        <v>28</v>
      </c>
      <c r="E21">
        <v>16</v>
      </c>
      <c r="F21" s="88">
        <f>Tabla68[[#This Row],[Texto completo]]/Tabla68[[#This Row],[Referencias]]</f>
        <v>0.5714285714285714</v>
      </c>
      <c r="H21" s="95" t="s">
        <v>133</v>
      </c>
      <c r="I21" s="91">
        <f>I5/SQRT(30)</f>
        <v>3.2557405829234951</v>
      </c>
      <c r="J21" s="96"/>
      <c r="M21" s="95" t="s">
        <v>139</v>
      </c>
      <c r="N21" s="94">
        <f>SQRT($N$17*(1-$N$17)/Tabla68[[#Totals],[Referencias]])</f>
        <v>1.8031244451351663E-2</v>
      </c>
      <c r="O21" s="96"/>
    </row>
    <row r="22" spans="2:15">
      <c r="B22" t="s">
        <v>83</v>
      </c>
      <c r="C22" t="s">
        <v>64</v>
      </c>
      <c r="D22">
        <v>10</v>
      </c>
      <c r="E22">
        <v>6</v>
      </c>
      <c r="F22" s="88">
        <f>Tabla68[[#This Row],[Texto completo]]/Tabla68[[#This Row],[Referencias]]</f>
        <v>0.6</v>
      </c>
      <c r="H22" s="95"/>
      <c r="I22" s="90"/>
      <c r="J22" s="96"/>
      <c r="M22" s="95"/>
      <c r="N22" s="90"/>
      <c r="O22" s="96"/>
    </row>
    <row r="23" spans="2:15" ht="15.75" thickBot="1">
      <c r="B23" t="s">
        <v>84</v>
      </c>
      <c r="C23" t="s">
        <v>66</v>
      </c>
      <c r="D23">
        <v>0</v>
      </c>
      <c r="E23">
        <v>0</v>
      </c>
      <c r="F23" s="88">
        <v>0</v>
      </c>
      <c r="H23" s="97" t="s">
        <v>134</v>
      </c>
      <c r="I23" s="98">
        <f>$I$17-$I$19*$I$21</f>
        <v>16.885415124136614</v>
      </c>
      <c r="J23" s="99">
        <f>$I$17+$I$19*$I$21</f>
        <v>29.647918209196717</v>
      </c>
      <c r="K23" s="92"/>
      <c r="M23" s="97" t="s">
        <v>132</v>
      </c>
      <c r="N23" s="98">
        <f>$N$17-$N$19*N21</f>
        <v>0.61652122505873186</v>
      </c>
      <c r="O23" s="99">
        <f>$N$17+$N$19*$N$21</f>
        <v>0.68720370330803038</v>
      </c>
    </row>
    <row r="24" spans="2:15" ht="15.75" thickTop="1">
      <c r="B24" t="s">
        <v>85</v>
      </c>
      <c r="C24" t="s">
        <v>64</v>
      </c>
      <c r="D24">
        <v>23</v>
      </c>
      <c r="E24">
        <v>17</v>
      </c>
      <c r="F24" s="88">
        <f>Tabla68[[#This Row],[Texto completo]]/Tabla68[[#This Row],[Referencias]]</f>
        <v>0.73913043478260865</v>
      </c>
    </row>
    <row r="25" spans="2:15">
      <c r="B25" t="s">
        <v>86</v>
      </c>
      <c r="C25" t="s">
        <v>64</v>
      </c>
      <c r="D25">
        <v>24</v>
      </c>
      <c r="E25">
        <v>19</v>
      </c>
      <c r="F25" s="88">
        <f>Tabla68[[#This Row],[Texto completo]]/Tabla68[[#This Row],[Referencias]]</f>
        <v>0.79166666666666663</v>
      </c>
    </row>
    <row r="26" spans="2:15">
      <c r="B26" t="s">
        <v>87</v>
      </c>
      <c r="C26" t="s">
        <v>64</v>
      </c>
      <c r="D26">
        <v>40</v>
      </c>
      <c r="E26">
        <v>36</v>
      </c>
      <c r="F26" s="88">
        <f>Tabla68[[#This Row],[Texto completo]]/Tabla68[[#This Row],[Referencias]]</f>
        <v>0.9</v>
      </c>
    </row>
    <row r="27" spans="2:15">
      <c r="B27" t="s">
        <v>88</v>
      </c>
      <c r="C27" t="s">
        <v>64</v>
      </c>
      <c r="D27">
        <v>62</v>
      </c>
      <c r="E27">
        <v>34</v>
      </c>
      <c r="F27" s="88">
        <f>Tabla68[[#This Row],[Texto completo]]/Tabla68[[#This Row],[Referencias]]</f>
        <v>0.54838709677419351</v>
      </c>
    </row>
    <row r="28" spans="2:15">
      <c r="B28" t="s">
        <v>89</v>
      </c>
      <c r="C28" t="s">
        <v>66</v>
      </c>
      <c r="D28">
        <v>39</v>
      </c>
      <c r="E28">
        <v>26</v>
      </c>
      <c r="F28" s="88">
        <f>Tabla68[[#This Row],[Texto completo]]/Tabla68[[#This Row],[Referencias]]</f>
        <v>0.66666666666666663</v>
      </c>
    </row>
    <row r="29" spans="2:15">
      <c r="B29" t="s">
        <v>90</v>
      </c>
      <c r="C29" t="s">
        <v>64</v>
      </c>
      <c r="D29">
        <v>13</v>
      </c>
      <c r="E29">
        <v>6</v>
      </c>
      <c r="F29" s="88">
        <f>Tabla68[[#This Row],[Texto completo]]/Tabla68[[#This Row],[Referencias]]</f>
        <v>0.46153846153846156</v>
      </c>
    </row>
    <row r="30" spans="2:15">
      <c r="B30" t="s">
        <v>91</v>
      </c>
      <c r="C30" t="s">
        <v>66</v>
      </c>
      <c r="D30">
        <v>26</v>
      </c>
      <c r="E30">
        <v>12</v>
      </c>
      <c r="F30" s="88">
        <f>Tabla68[[#This Row],[Texto completo]]/Tabla68[[#This Row],[Referencias]]</f>
        <v>0.46153846153846156</v>
      </c>
    </row>
    <row r="31" spans="2:15">
      <c r="B31" t="s">
        <v>92</v>
      </c>
      <c r="C31" t="s">
        <v>66</v>
      </c>
      <c r="D31">
        <v>24</v>
      </c>
      <c r="E31">
        <v>10</v>
      </c>
      <c r="F31" s="88">
        <f>Tabla68[[#This Row],[Texto completo]]/Tabla68[[#This Row],[Referencias]]</f>
        <v>0.41666666666666669</v>
      </c>
    </row>
    <row r="32" spans="2:15">
      <c r="B32" t="s">
        <v>93</v>
      </c>
      <c r="C32" t="s">
        <v>64</v>
      </c>
      <c r="D32">
        <v>17</v>
      </c>
      <c r="E32">
        <v>14</v>
      </c>
      <c r="F32" s="88">
        <f>Tabla68[[#This Row],[Texto completo]]/Tabla68[[#This Row],[Referencias]]</f>
        <v>0.82352941176470584</v>
      </c>
    </row>
    <row r="33" spans="2:6">
      <c r="B33" t="s">
        <v>94</v>
      </c>
      <c r="C33" t="s">
        <v>66</v>
      </c>
      <c r="D33">
        <v>24</v>
      </c>
      <c r="E33">
        <v>9</v>
      </c>
      <c r="F33" s="88">
        <f>Tabla68[[#This Row],[Texto completo]]/Tabla68[[#This Row],[Referencias]]</f>
        <v>0.375</v>
      </c>
    </row>
    <row r="34" spans="2:6">
      <c r="B34" t="s">
        <v>95</v>
      </c>
      <c r="C34" t="s">
        <v>66</v>
      </c>
      <c r="D34">
        <v>13</v>
      </c>
      <c r="E34">
        <v>6</v>
      </c>
      <c r="F34" s="88">
        <f>Tabla68[[#This Row],[Texto completo]]/Tabla68[[#This Row],[Referencias]]</f>
        <v>0.46153846153846156</v>
      </c>
    </row>
    <row r="35" spans="2:6">
      <c r="B35" s="90"/>
      <c r="C35" s="90"/>
      <c r="D35" s="90">
        <f>SUBTOTAL(109,Tabla68[Referencias])</f>
        <v>698</v>
      </c>
      <c r="E35" s="90">
        <f>SUM(E5:E34)</f>
        <v>455</v>
      </c>
      <c r="F35" s="91">
        <f>AVERAGE(Tabla68[Porcentaje])</f>
        <v>0.60336833427353642</v>
      </c>
    </row>
  </sheetData>
  <mergeCells count="2">
    <mergeCell ref="H2:J2"/>
    <mergeCell ref="M2:O2"/>
  </mergeCells>
  <pageMargins left="0.7" right="0.7" top="0.75" bottom="0.75" header="0.3" footer="0.3"/>
  <pageSetup paperSize="9" orientation="portrait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EA258F912FA40871C2CF95475DA83" ma:contentTypeVersion="0" ma:contentTypeDescription="Crear nuevo documento." ma:contentTypeScope="" ma:versionID="d939a8127d150bb7e19d49e5b93de54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18BE56-F5EC-4A7B-87F9-13586C993DDB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DC68C0-C6EE-478F-8CDF-26C17C2AB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13F441-4B88-4C5C-B8A5-5915F0211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Informe</vt:lpstr>
      <vt:lpstr>Estadística</vt:lpstr>
      <vt:lpstr>Presupuesto</vt:lpstr>
      <vt:lpstr>BBDD</vt:lpstr>
      <vt:lpstr>2008</vt:lpstr>
      <vt:lpstr>2008 NREF</vt:lpstr>
      <vt:lpstr>2009</vt:lpstr>
      <vt:lpstr>2009 NREF</vt:lpstr>
      <vt:lpstr>2010</vt:lpstr>
      <vt:lpstr>2010 NREF</vt:lpstr>
      <vt:lpstr>2011</vt:lpstr>
      <vt:lpstr>2011 NREF</vt:lpstr>
      <vt:lpstr>2012</vt:lpstr>
      <vt:lpstr>Hoja2</vt:lpstr>
    </vt:vector>
  </TitlesOfParts>
  <Company>UPV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fcorumon</dc:creator>
  <cp:lastModifiedBy>Francisco Jose Rubio Montero</cp:lastModifiedBy>
  <dcterms:created xsi:type="dcterms:W3CDTF">2012-06-14T12:04:35Z</dcterms:created>
  <dcterms:modified xsi:type="dcterms:W3CDTF">2013-11-28T11:52:56Z</dcterms:modified>
</cp:coreProperties>
</file>